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R:\ISOB\SMR-CADRAD\R waarden\REKENPROGRAMMA'S R WAARDEN\"/>
    </mc:Choice>
  </mc:AlternateContent>
  <xr:revisionPtr revIDLastSave="0" documentId="8_{8022F840-FACC-4E29-9056-A6092542D17B}" xr6:coauthVersionLast="45" xr6:coauthVersionMax="45" xr10:uidLastSave="{00000000-0000-0000-0000-000000000000}"/>
  <workbookProtection workbookAlgorithmName="SHA-512" workbookHashValue="R+Nwqd5T1GxGjDnEtY151bGDEFUtD0h/+eQkw5xLEeojv9/QnFPLIDJVK0AdGv/S85I/aPPKegpRt+AeKSvMcQ==" workbookSaltValue="ljGtJzb1+96ao0EScpX1tw==" workbookSpinCount="100000" lockStructure="1" lockWindows="1"/>
  <bookViews>
    <workbookView showHorizontalScroll="0" showVerticalScroll="0" showSheetTabs="0" xWindow="-120" yWindow="-120" windowWidth="25440" windowHeight="15390" xr2:uid="{00000000-000D-0000-FFFF-FFFF00000000}"/>
  </bookViews>
  <sheets>
    <sheet name="Ber" sheetId="1" r:id="rId1"/>
    <sheet name="Geg" sheetId="2" state="hidden" r:id="rId2"/>
    <sheet name="Contr conc" sheetId="3" state="hidden" r:id="rId3"/>
    <sheet name="Standaardconstr" sheetId="5" state="hidden" r:id="rId4"/>
    <sheet name="Vergelijk tbv brochure" sheetId="7" state="hidden" r:id="rId5"/>
    <sheet name="Decker" sheetId="6" state="hidden" r:id="rId6"/>
    <sheet name="Gesch" sheetId="4" state="hidden" r:id="rId7"/>
    <sheet name="Sheet1" sheetId="8" state="hidden" r:id="rId8"/>
  </sheets>
  <definedNames>
    <definedName name="_xlnm.Print_Area" localSheetId="0">Ber!$B$1:$L$51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F68" i="1" s="1"/>
  <c r="F58" i="1"/>
  <c r="F94" i="2"/>
  <c r="F93" i="2"/>
  <c r="F92" i="2"/>
  <c r="F91" i="2"/>
  <c r="F89" i="2"/>
  <c r="F88" i="2"/>
  <c r="F87" i="2"/>
  <c r="D82" i="2"/>
  <c r="F82" i="2" s="1"/>
  <c r="D11" i="7"/>
  <c r="D12" i="7"/>
  <c r="D13" i="7"/>
  <c r="D10" i="7"/>
  <c r="D9" i="7"/>
  <c r="E9" i="7"/>
  <c r="E10" i="7"/>
  <c r="E11" i="7"/>
  <c r="E12" i="7"/>
  <c r="E13" i="7"/>
  <c r="E8" i="7"/>
  <c r="D8" i="7"/>
  <c r="C9" i="7"/>
  <c r="C10" i="7"/>
  <c r="C11" i="7"/>
  <c r="C12" i="7"/>
  <c r="C13" i="7"/>
  <c r="C8" i="7"/>
  <c r="N129" i="6"/>
  <c r="BG36" i="6"/>
  <c r="BG45" i="6" s="1"/>
  <c r="BG37" i="6"/>
  <c r="BG40" i="6"/>
  <c r="BG22" i="6"/>
  <c r="BG23" i="6"/>
  <c r="BG31" i="6" s="1"/>
  <c r="BG26" i="6"/>
  <c r="BB36" i="6"/>
  <c r="BB45" i="6"/>
  <c r="BB37" i="6"/>
  <c r="BB40" i="6"/>
  <c r="BB22" i="6"/>
  <c r="BB23" i="6"/>
  <c r="BB31" i="6" s="1"/>
  <c r="BB26" i="6"/>
  <c r="AW36" i="6"/>
  <c r="AW45" i="6"/>
  <c r="AW37" i="6"/>
  <c r="AW40" i="6"/>
  <c r="AW22" i="6"/>
  <c r="AW31" i="6"/>
  <c r="AW23" i="6"/>
  <c r="AW26" i="6"/>
  <c r="AM36" i="6"/>
  <c r="AM45" i="6" s="1"/>
  <c r="AM37" i="6"/>
  <c r="AM40" i="6"/>
  <c r="AM22" i="6"/>
  <c r="AM31" i="6" s="1"/>
  <c r="AM23" i="6"/>
  <c r="AM26" i="6"/>
  <c r="AH36" i="6"/>
  <c r="AH45" i="6" s="1"/>
  <c r="AH37" i="6"/>
  <c r="AH40" i="6"/>
  <c r="AH22" i="6"/>
  <c r="AH23" i="6"/>
  <c r="AH26" i="6"/>
  <c r="AH31" i="6" s="1"/>
  <c r="AC36" i="6"/>
  <c r="AC45" i="6" s="1"/>
  <c r="AC37" i="6"/>
  <c r="AC40" i="6"/>
  <c r="AC22" i="6"/>
  <c r="AC31" i="6" s="1"/>
  <c r="AC23" i="6"/>
  <c r="AC26" i="6"/>
  <c r="CA64" i="6"/>
  <c r="CA73" i="6" s="1"/>
  <c r="CA65" i="6"/>
  <c r="CA68" i="6"/>
  <c r="CA50" i="6"/>
  <c r="CA59" i="6" s="1"/>
  <c r="CA51" i="6"/>
  <c r="CA54" i="6"/>
  <c r="CA36" i="6"/>
  <c r="CA45" i="6" s="1"/>
  <c r="CA37" i="6"/>
  <c r="CA40" i="6"/>
  <c r="CA22" i="6"/>
  <c r="CA31" i="6" s="1"/>
  <c r="CA23" i="6"/>
  <c r="CA26" i="6"/>
  <c r="BV64" i="6"/>
  <c r="BV65" i="6"/>
  <c r="BV68" i="6"/>
  <c r="BV73" i="6" s="1"/>
  <c r="BV50" i="6"/>
  <c r="BV51" i="6"/>
  <c r="BV54" i="6"/>
  <c r="BV59" i="6"/>
  <c r="BV36" i="6"/>
  <c r="BV45" i="6" s="1"/>
  <c r="BV37" i="6"/>
  <c r="BV40" i="6"/>
  <c r="BV22" i="6"/>
  <c r="BV31" i="6" s="1"/>
  <c r="BV23" i="6"/>
  <c r="BV26" i="6"/>
  <c r="BQ64" i="6"/>
  <c r="BQ73" i="6" s="1"/>
  <c r="BQ65" i="6"/>
  <c r="BQ68" i="6"/>
  <c r="BQ50" i="6"/>
  <c r="BQ59" i="6"/>
  <c r="BQ51" i="6"/>
  <c r="BQ54" i="6"/>
  <c r="BQ36" i="6"/>
  <c r="BQ45" i="6"/>
  <c r="BQ37" i="6"/>
  <c r="BQ40" i="6"/>
  <c r="BQ22" i="6"/>
  <c r="BQ31" i="6"/>
  <c r="BQ23" i="6"/>
  <c r="BQ26" i="6"/>
  <c r="BL64" i="6"/>
  <c r="BL73" i="6"/>
  <c r="BL65" i="6"/>
  <c r="BL68" i="6"/>
  <c r="BL50" i="6"/>
  <c r="BL59" i="6"/>
  <c r="BL51" i="6"/>
  <c r="BL54" i="6"/>
  <c r="BL36" i="6"/>
  <c r="BL45" i="6"/>
  <c r="BL37" i="6"/>
  <c r="BL40" i="6"/>
  <c r="BL22" i="6"/>
  <c r="BL23" i="6"/>
  <c r="BL31" i="6" s="1"/>
  <c r="BL26" i="6"/>
  <c r="AR36" i="6"/>
  <c r="AR37" i="6"/>
  <c r="AR45" i="6"/>
  <c r="AR40" i="6"/>
  <c r="AR22" i="6"/>
  <c r="AR31" i="6" s="1"/>
  <c r="AR23" i="6"/>
  <c r="AR26" i="6"/>
  <c r="X36" i="6"/>
  <c r="X45" i="6" s="1"/>
  <c r="X37" i="6"/>
  <c r="X40" i="6"/>
  <c r="X22" i="6"/>
  <c r="X23" i="6"/>
  <c r="X31" i="6"/>
  <c r="X26" i="6"/>
  <c r="S120" i="6"/>
  <c r="S129" i="6" s="1"/>
  <c r="S121" i="6"/>
  <c r="S124" i="6"/>
  <c r="S106" i="6"/>
  <c r="S115" i="6" s="1"/>
  <c r="S107" i="6"/>
  <c r="S110" i="6"/>
  <c r="S92" i="6"/>
  <c r="S101" i="6" s="1"/>
  <c r="S93" i="6"/>
  <c r="S96" i="6"/>
  <c r="S78" i="6"/>
  <c r="S87" i="6" s="1"/>
  <c r="S79" i="6"/>
  <c r="S82" i="6"/>
  <c r="S64" i="6"/>
  <c r="S73" i="6" s="1"/>
  <c r="S65" i="6"/>
  <c r="S68" i="6"/>
  <c r="S50" i="6"/>
  <c r="S59" i="6" s="1"/>
  <c r="S51" i="6"/>
  <c r="S54" i="6"/>
  <c r="S36" i="6"/>
  <c r="S45" i="6" s="1"/>
  <c r="S37" i="6"/>
  <c r="S40" i="6"/>
  <c r="S22" i="6"/>
  <c r="S31" i="6" s="1"/>
  <c r="S23" i="6"/>
  <c r="S26" i="6"/>
  <c r="N120" i="6"/>
  <c r="N121" i="6"/>
  <c r="N124" i="6"/>
  <c r="N106" i="6"/>
  <c r="N115" i="6" s="1"/>
  <c r="N107" i="6"/>
  <c r="N110" i="6"/>
  <c r="N92" i="6"/>
  <c r="N101" i="6" s="1"/>
  <c r="N93" i="6"/>
  <c r="N96" i="6"/>
  <c r="N78" i="6"/>
  <c r="N87" i="6" s="1"/>
  <c r="N79" i="6"/>
  <c r="N82" i="6"/>
  <c r="N64" i="6"/>
  <c r="N73" i="6" s="1"/>
  <c r="N65" i="6"/>
  <c r="N68" i="6"/>
  <c r="N50" i="6"/>
  <c r="N59" i="6" s="1"/>
  <c r="N51" i="6"/>
  <c r="N54" i="6"/>
  <c r="N36" i="6"/>
  <c r="N45" i="6" s="1"/>
  <c r="N37" i="6"/>
  <c r="N40" i="6"/>
  <c r="N22" i="6"/>
  <c r="N31" i="6" s="1"/>
  <c r="N23" i="6"/>
  <c r="N26" i="6"/>
  <c r="I120" i="6"/>
  <c r="I129" i="6" s="1"/>
  <c r="I121" i="6"/>
  <c r="I124" i="6"/>
  <c r="I106" i="6"/>
  <c r="I115" i="6"/>
  <c r="I107" i="6"/>
  <c r="I110" i="6"/>
  <c r="I92" i="6"/>
  <c r="I101" i="6"/>
  <c r="I93" i="6"/>
  <c r="I96" i="6"/>
  <c r="I78" i="6"/>
  <c r="I79" i="6"/>
  <c r="I87" i="6" s="1"/>
  <c r="I82" i="6"/>
  <c r="I64" i="6"/>
  <c r="I73" i="6"/>
  <c r="I65" i="6"/>
  <c r="I68" i="6"/>
  <c r="I50" i="6"/>
  <c r="I59" i="6"/>
  <c r="I51" i="6"/>
  <c r="I54" i="6"/>
  <c r="I36" i="6"/>
  <c r="I45" i="6"/>
  <c r="I37" i="6"/>
  <c r="I40" i="6"/>
  <c r="I22" i="6"/>
  <c r="I23" i="6"/>
  <c r="I31" i="6" s="1"/>
  <c r="I26" i="6"/>
  <c r="D120" i="6"/>
  <c r="D129" i="6" s="1"/>
  <c r="D121" i="6"/>
  <c r="D124" i="6"/>
  <c r="D106" i="6"/>
  <c r="D115" i="6" s="1"/>
  <c r="D107" i="6"/>
  <c r="D110" i="6"/>
  <c r="D92" i="6"/>
  <c r="D101" i="6" s="1"/>
  <c r="D93" i="6"/>
  <c r="D96" i="6"/>
  <c r="D78" i="6"/>
  <c r="D79" i="6"/>
  <c r="D87" i="6"/>
  <c r="D82" i="6"/>
  <c r="D64" i="6"/>
  <c r="D73" i="6" s="1"/>
  <c r="D65" i="6"/>
  <c r="D68" i="6"/>
  <c r="D50" i="6"/>
  <c r="D59" i="6" s="1"/>
  <c r="D51" i="6"/>
  <c r="D54" i="6"/>
  <c r="D36" i="6"/>
  <c r="D45" i="6" s="1"/>
  <c r="D37" i="6"/>
  <c r="D40" i="6"/>
  <c r="D22" i="6"/>
  <c r="D23" i="6"/>
  <c r="D31" i="6"/>
  <c r="D26" i="6"/>
  <c r="D7" i="6"/>
  <c r="D6" i="6"/>
  <c r="D15" i="6" s="1"/>
  <c r="D10" i="6"/>
  <c r="F49" i="3"/>
  <c r="F60" i="3" s="1"/>
  <c r="K48" i="3"/>
  <c r="G49" i="3"/>
  <c r="G13" i="3"/>
  <c r="G12" i="3"/>
  <c r="G11" i="3"/>
  <c r="G10" i="3"/>
  <c r="G9" i="3"/>
  <c r="G8" i="3"/>
  <c r="C15" i="3"/>
  <c r="C14" i="3"/>
  <c r="C13" i="3"/>
  <c r="D13" i="3" s="1"/>
  <c r="C12" i="3"/>
  <c r="D12" i="3"/>
  <c r="C11" i="3"/>
  <c r="D11" i="3" s="1"/>
  <c r="C10" i="3"/>
  <c r="C9" i="3"/>
  <c r="D9" i="3"/>
  <c r="C8" i="3"/>
  <c r="D8" i="3" s="1"/>
  <c r="D83" i="2"/>
  <c r="F83" i="2" s="1"/>
  <c r="E85" i="2"/>
  <c r="F85" i="2"/>
  <c r="E86" i="2"/>
  <c r="F86" i="2" s="1"/>
  <c r="G9" i="5"/>
  <c r="G10" i="5"/>
  <c r="G6" i="5"/>
  <c r="B67" i="2"/>
  <c r="C18" i="1"/>
  <c r="G58" i="1"/>
  <c r="K58" i="1" s="1"/>
  <c r="F67" i="2"/>
  <c r="B125" i="2"/>
  <c r="B124" i="2"/>
  <c r="B123" i="2"/>
  <c r="B122" i="2"/>
  <c r="B121" i="2"/>
  <c r="B73" i="2"/>
  <c r="B72" i="2"/>
  <c r="B71" i="2"/>
  <c r="B66" i="2"/>
  <c r="B65" i="2"/>
  <c r="B64" i="2"/>
  <c r="B63" i="2"/>
  <c r="B62" i="2"/>
  <c r="B61" i="2"/>
  <c r="B60" i="2"/>
  <c r="B59" i="2"/>
  <c r="B53" i="2"/>
  <c r="B58" i="2"/>
  <c r="B57" i="2"/>
  <c r="B56" i="2"/>
  <c r="B55" i="2"/>
  <c r="B54" i="2"/>
  <c r="B49" i="2"/>
  <c r="B48" i="2"/>
  <c r="B47" i="2"/>
  <c r="H18" i="1"/>
  <c r="H13" i="1"/>
  <c r="C27" i="1"/>
  <c r="C26" i="1"/>
  <c r="C25" i="1"/>
  <c r="C24" i="1"/>
  <c r="C17" i="1"/>
  <c r="C16" i="1"/>
  <c r="C15" i="1"/>
  <c r="C14" i="1"/>
  <c r="C13" i="1"/>
  <c r="C12" i="1"/>
  <c r="C9" i="1"/>
  <c r="C8" i="1"/>
  <c r="C5" i="1"/>
  <c r="C4" i="1"/>
  <c r="C3" i="1"/>
  <c r="H67" i="1"/>
  <c r="G127" i="2"/>
  <c r="F125" i="2"/>
  <c r="F124" i="2"/>
  <c r="F122" i="2"/>
  <c r="F121" i="2"/>
  <c r="D84" i="2"/>
  <c r="F84" i="2"/>
  <c r="E82" i="2"/>
  <c r="E83" i="2"/>
  <c r="E84" i="2"/>
  <c r="K56" i="1"/>
  <c r="F59" i="1"/>
  <c r="K59" i="1" s="1"/>
  <c r="G59" i="1"/>
  <c r="K54" i="1"/>
  <c r="L13" i="1"/>
  <c r="F55" i="1" s="1"/>
  <c r="K55" i="1" s="1"/>
  <c r="G55" i="1"/>
  <c r="K60" i="1"/>
  <c r="K61" i="1"/>
  <c r="G65" i="1"/>
  <c r="F123" i="2"/>
  <c r="I66" i="1"/>
  <c r="J64" i="1"/>
  <c r="G50" i="3"/>
  <c r="F50" i="3"/>
  <c r="I33" i="3"/>
  <c r="H33" i="3"/>
  <c r="L17" i="1"/>
  <c r="G46" i="3"/>
  <c r="K53" i="3"/>
  <c r="G51" i="3"/>
  <c r="F51" i="3"/>
  <c r="K51" i="3" s="1"/>
  <c r="G71" i="2"/>
  <c r="F53" i="2"/>
  <c r="F54" i="2"/>
  <c r="F55" i="2"/>
  <c r="F56" i="2"/>
  <c r="F57" i="2"/>
  <c r="F58" i="2"/>
  <c r="F59" i="2"/>
  <c r="F61" i="2"/>
  <c r="F62" i="2"/>
  <c r="F63" i="2"/>
  <c r="F64" i="2"/>
  <c r="F65" i="2"/>
  <c r="N62" i="3"/>
  <c r="L61" i="3"/>
  <c r="H59" i="3"/>
  <c r="I58" i="3"/>
  <c r="G57" i="3"/>
  <c r="J56" i="3"/>
  <c r="K52" i="3"/>
  <c r="K47" i="3"/>
  <c r="K45" i="3"/>
  <c r="F46" i="3"/>
  <c r="K46" i="3"/>
  <c r="G24" i="3"/>
  <c r="I24" i="3"/>
  <c r="J20" i="3"/>
  <c r="K20" i="3"/>
  <c r="L20" i="3"/>
  <c r="M20" i="3"/>
  <c r="N20" i="3"/>
  <c r="O20" i="3"/>
  <c r="P20" i="3"/>
  <c r="J21" i="3"/>
  <c r="K21" i="3"/>
  <c r="L21" i="3"/>
  <c r="M21" i="3"/>
  <c r="N21" i="3"/>
  <c r="O21" i="3"/>
  <c r="P21" i="3"/>
  <c r="J22" i="3"/>
  <c r="K22" i="3"/>
  <c r="L22" i="3"/>
  <c r="M22" i="3"/>
  <c r="N22" i="3"/>
  <c r="O22" i="3"/>
  <c r="P22" i="3"/>
  <c r="K19" i="3"/>
  <c r="L19" i="3"/>
  <c r="M19" i="3"/>
  <c r="N19" i="3"/>
  <c r="O19" i="3"/>
  <c r="P19" i="3"/>
  <c r="J19" i="3"/>
  <c r="D10" i="3"/>
  <c r="D14" i="3"/>
  <c r="D15" i="3"/>
  <c r="D7" i="3"/>
  <c r="C84" i="2"/>
  <c r="C83" i="2"/>
  <c r="C82" i="2"/>
  <c r="B81" i="2"/>
  <c r="G73" i="2"/>
  <c r="G72" i="2"/>
  <c r="F60" i="2"/>
  <c r="F66" i="2"/>
  <c r="G43" i="2"/>
  <c r="K50" i="3" l="1"/>
  <c r="K57" i="1"/>
  <c r="J21" i="1" s="1"/>
  <c r="K49" i="3"/>
  <c r="K62" i="1" l="1"/>
  <c r="K63" i="1" s="1"/>
  <c r="K54" i="3"/>
  <c r="C40" i="3"/>
  <c r="K70" i="1" l="1"/>
  <c r="K71" i="1" s="1"/>
  <c r="L55" i="3"/>
  <c r="L63" i="3" s="1"/>
  <c r="L62" i="3"/>
  <c r="K64" i="3" l="1"/>
  <c r="C41" i="3" s="1"/>
  <c r="C39" i="3"/>
  <c r="K72" i="1"/>
  <c r="J22" i="1" s="1"/>
  <c r="J20" i="1"/>
</calcChain>
</file>

<file path=xl/sharedStrings.xml><?xml version="1.0" encoding="utf-8"?>
<sst xmlns="http://schemas.openxmlformats.org/spreadsheetml/2006/main" count="1439" uniqueCount="265">
  <si>
    <r>
      <t>Bepaling R</t>
    </r>
    <r>
      <rPr>
        <vertAlign val="subscript"/>
        <sz val="10"/>
        <rFont val="Arial"/>
        <family val="2"/>
      </rPr>
      <t>tot</t>
    </r>
    <r>
      <rPr>
        <sz val="10"/>
        <rFont val="Arial"/>
        <family val="2"/>
      </rPr>
      <t xml:space="preserve"> van een spouwmuurconstructie conform</t>
    </r>
  </si>
  <si>
    <t>m²K/W</t>
  </si>
  <si>
    <r>
      <t>R</t>
    </r>
    <r>
      <rPr>
        <vertAlign val="subscript"/>
        <sz val="10"/>
        <rFont val="Arial"/>
        <family val="2"/>
      </rPr>
      <t>tot</t>
    </r>
    <r>
      <rPr>
        <sz val="10"/>
        <rFont val="Arial"/>
        <family val="2"/>
      </rPr>
      <t xml:space="preserve"> = </t>
    </r>
  </si>
  <si>
    <r>
      <t>R</t>
    </r>
    <r>
      <rPr>
        <vertAlign val="subscript"/>
        <sz val="10"/>
        <rFont val="Arial"/>
        <family val="2"/>
      </rPr>
      <t>si</t>
    </r>
    <r>
      <rPr>
        <sz val="10"/>
        <rFont val="Arial"/>
        <family val="2"/>
      </rPr>
      <t xml:space="preserve"> =</t>
    </r>
  </si>
  <si>
    <r>
      <t>R</t>
    </r>
    <r>
      <rPr>
        <vertAlign val="subscript"/>
        <sz val="10"/>
        <rFont val="Arial"/>
        <family val="2"/>
      </rPr>
      <t>isol</t>
    </r>
    <r>
      <rPr>
        <sz val="10"/>
        <rFont val="Arial"/>
        <family val="2"/>
      </rPr>
      <t xml:space="preserve"> =</t>
    </r>
  </si>
  <si>
    <r>
      <t>R</t>
    </r>
    <r>
      <rPr>
        <vertAlign val="subscript"/>
        <sz val="10"/>
        <rFont val="Arial"/>
        <family val="2"/>
      </rPr>
      <t>se</t>
    </r>
    <r>
      <rPr>
        <sz val="10"/>
        <rFont val="Arial"/>
        <family val="2"/>
      </rPr>
      <t xml:space="preserve"> =</t>
    </r>
  </si>
  <si>
    <t>thermische weerstand van de spouwmuur</t>
  </si>
  <si>
    <t>overgangsweerstand binnenzijde</t>
  </si>
  <si>
    <t xml:space="preserve">totaal van alle Rrekenwaarden van de iverse lagen exclusief isolatielaag </t>
  </si>
  <si>
    <r>
      <t>S</t>
    </r>
    <r>
      <rPr>
        <sz val="10"/>
        <rFont val="Arial"/>
        <family val="2"/>
      </rPr>
      <t>R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 xml:space="preserve"> =</t>
    </r>
  </si>
  <si>
    <t>gedeclareerde thermische weerstand van de homogene isolatielaag</t>
  </si>
  <si>
    <r>
      <t>R</t>
    </r>
    <r>
      <rPr>
        <vertAlign val="subscript"/>
        <sz val="10"/>
        <rFont val="Arial"/>
        <family val="2"/>
      </rPr>
      <t>tot</t>
    </r>
    <r>
      <rPr>
        <sz val="10"/>
        <rFont val="Arial"/>
        <family val="2"/>
      </rPr>
      <t xml:space="preserve"> = R</t>
    </r>
    <r>
      <rPr>
        <vertAlign val="subscript"/>
        <sz val="10"/>
        <rFont val="Arial"/>
        <family val="2"/>
      </rPr>
      <t>si</t>
    </r>
    <r>
      <rPr>
        <sz val="10"/>
        <rFont val="Arial"/>
        <family val="2"/>
      </rPr>
      <t xml:space="preserve"> +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R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 xml:space="preserve"> + R</t>
    </r>
    <r>
      <rPr>
        <vertAlign val="subscript"/>
        <sz val="10"/>
        <rFont val="Arial"/>
        <family val="2"/>
      </rPr>
      <t xml:space="preserve">isol </t>
    </r>
    <r>
      <rPr>
        <sz val="10"/>
        <rFont val="Arial"/>
        <family val="2"/>
      </rPr>
      <t>+ R</t>
    </r>
    <r>
      <rPr>
        <vertAlign val="subscript"/>
        <sz val="10"/>
        <rFont val="Arial"/>
        <family val="2"/>
      </rPr>
      <t>se</t>
    </r>
    <r>
      <rPr>
        <sz val="10"/>
        <rFont val="Arial"/>
        <family val="2"/>
      </rPr>
      <t xml:space="preserve"> + R</t>
    </r>
    <r>
      <rPr>
        <vertAlign val="subscript"/>
        <sz val="10"/>
        <rFont val="Arial"/>
        <family val="2"/>
      </rPr>
      <t>corr</t>
    </r>
    <r>
      <rPr>
        <sz val="10"/>
        <rFont val="Arial"/>
        <family val="2"/>
      </rPr>
      <t xml:space="preserve">  </t>
    </r>
  </si>
  <si>
    <t>overgangsweerstand buitenzijde</t>
  </si>
  <si>
    <t>correctiefactor voor plaatsingstoleranties</t>
  </si>
  <si>
    <t>U = 1/Rtot</t>
  </si>
  <si>
    <t>W/m²K</t>
  </si>
  <si>
    <t>U</t>
  </si>
  <si>
    <r>
      <t>U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= U +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+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f</t>
    </r>
  </si>
  <si>
    <t>warmtedoorgangscoëfficiënt</t>
  </si>
  <si>
    <r>
      <t>R</t>
    </r>
    <r>
      <rPr>
        <vertAlign val="subscript"/>
        <sz val="10"/>
        <rFont val="Arial"/>
        <family val="2"/>
      </rPr>
      <t>corr</t>
    </r>
    <r>
      <rPr>
        <sz val="10"/>
        <rFont val="Arial"/>
        <family val="2"/>
      </rPr>
      <t xml:space="preserve"> =  </t>
    </r>
  </si>
  <si>
    <r>
      <t>U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= </t>
    </r>
  </si>
  <si>
    <t>U =</t>
  </si>
  <si>
    <r>
      <t>D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=</t>
    </r>
  </si>
  <si>
    <r>
      <t>D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f</t>
    </r>
    <r>
      <rPr>
        <sz val="10"/>
        <rFont val="Symbol"/>
        <family val="1"/>
        <charset val="2"/>
      </rPr>
      <t xml:space="preserve"> =</t>
    </r>
  </si>
  <si>
    <t>toeslag voor spleten in isolatielaag</t>
  </si>
  <si>
    <t>toeslag voor bevestigingenspleten in isolatielaag</t>
  </si>
  <si>
    <t>bron:</t>
  </si>
  <si>
    <r>
      <t>R</t>
    </r>
    <r>
      <rPr>
        <vertAlign val="subscript"/>
        <sz val="10"/>
        <rFont val="Arial"/>
        <family val="2"/>
      </rPr>
      <t>luchtspouw (zwak geventileerd)</t>
    </r>
    <r>
      <rPr>
        <sz val="10"/>
        <rFont val="Arial"/>
        <family val="2"/>
      </rPr>
      <t xml:space="preserve"> =</t>
    </r>
  </si>
  <si>
    <t>Butgb informatieblad</t>
  </si>
  <si>
    <r>
      <t>R</t>
    </r>
    <r>
      <rPr>
        <vertAlign val="subscript"/>
        <sz val="10"/>
        <rFont val="Arial"/>
        <family val="2"/>
      </rPr>
      <t>luchtspouw (niet geventileerd)</t>
    </r>
    <r>
      <rPr>
        <sz val="10"/>
        <rFont val="Arial"/>
        <family val="2"/>
      </rPr>
      <t xml:space="preserve"> =</t>
    </r>
  </si>
  <si>
    <r>
      <t>R</t>
    </r>
    <r>
      <rPr>
        <vertAlign val="subscript"/>
        <sz val="10"/>
        <rFont val="Arial"/>
        <family val="2"/>
      </rPr>
      <t>D</t>
    </r>
  </si>
  <si>
    <t>gecorrigeerde wamtedoorgangscoëfficiënt conform EN 6946</t>
  </si>
  <si>
    <t>EN 6946</t>
  </si>
  <si>
    <r>
      <t>a</t>
    </r>
    <r>
      <rPr>
        <sz val="10"/>
        <rFont val="Arial"/>
        <family val="2"/>
      </rPr>
      <t>*((</t>
    </r>
    <r>
      <rPr>
        <sz val="10"/>
        <rFont val="Symbol"/>
        <family val="1"/>
        <charset val="2"/>
      </rPr>
      <t>l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*A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*n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)/d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)*(R</t>
    </r>
    <r>
      <rPr>
        <vertAlign val="subscript"/>
        <sz val="10"/>
        <rFont val="Arial"/>
        <family val="2"/>
      </rPr>
      <t>isol</t>
    </r>
    <r>
      <rPr>
        <sz val="10"/>
        <rFont val="Arial"/>
        <family val="2"/>
      </rPr>
      <t>/R</t>
    </r>
    <r>
      <rPr>
        <vertAlign val="subscript"/>
        <sz val="10"/>
        <rFont val="Arial"/>
        <family val="2"/>
      </rPr>
      <t>tot</t>
    </r>
    <r>
      <rPr>
        <sz val="10"/>
        <rFont val="Arial"/>
        <family val="2"/>
      </rPr>
      <t>)²</t>
    </r>
  </si>
  <si>
    <t>a =</t>
  </si>
  <si>
    <r>
      <t>l</t>
    </r>
    <r>
      <rPr>
        <vertAlign val="subscript"/>
        <sz val="10"/>
        <rFont val="Arial"/>
        <family val="2"/>
      </rPr>
      <t>f =</t>
    </r>
  </si>
  <si>
    <r>
      <t>A</t>
    </r>
    <r>
      <rPr>
        <vertAlign val="subscript"/>
        <sz val="10"/>
        <rFont val="Arial"/>
        <family val="2"/>
      </rPr>
      <t>f =</t>
    </r>
  </si>
  <si>
    <r>
      <t>n</t>
    </r>
    <r>
      <rPr>
        <vertAlign val="subscript"/>
        <sz val="10"/>
        <rFont val="Arial"/>
        <family val="2"/>
      </rPr>
      <t>f =</t>
    </r>
  </si>
  <si>
    <r>
      <t>d</t>
    </r>
    <r>
      <rPr>
        <vertAlign val="subscript"/>
        <sz val="10"/>
        <rFont val="Arial"/>
        <family val="2"/>
      </rPr>
      <t>i =</t>
    </r>
  </si>
  <si>
    <t>coëfficiënt =</t>
  </si>
  <si>
    <t>aantal bevestiger per m²</t>
  </si>
  <si>
    <r>
      <t>l</t>
    </r>
    <r>
      <rPr>
        <sz val="10"/>
        <rFont val="Arial"/>
        <family val="2"/>
      </rPr>
      <t xml:space="preserve"> bevestiger</t>
    </r>
  </si>
  <si>
    <t>oppervlakte doorsnede bevestiger</t>
  </si>
  <si>
    <t>lengte van de bevestiger</t>
  </si>
  <si>
    <t>30 mm</t>
  </si>
  <si>
    <t>Uitgangspunten:</t>
  </si>
  <si>
    <t>Buitenspouwblad</t>
  </si>
  <si>
    <t>Luchtspouw</t>
  </si>
  <si>
    <t>Isolatie</t>
  </si>
  <si>
    <t>Bevestigers</t>
  </si>
  <si>
    <t>Soort en aantal bevestigers</t>
  </si>
  <si>
    <t>Berekeningsgrondslagen</t>
  </si>
  <si>
    <t>d</t>
  </si>
  <si>
    <t>l</t>
  </si>
  <si>
    <t>mm</t>
  </si>
  <si>
    <t>W/mK</t>
  </si>
  <si>
    <t>Luchtspouw, niet geventileerd, 30 mm</t>
  </si>
  <si>
    <t>Luchtspouw, zwak geventileerd, 30 mm</t>
  </si>
  <si>
    <r>
      <t>R</t>
    </r>
    <r>
      <rPr>
        <vertAlign val="subscript"/>
        <sz val="10"/>
        <rFont val="Arial"/>
        <family val="2"/>
      </rPr>
      <t>m</t>
    </r>
  </si>
  <si>
    <t>Binnenspouwblad</t>
  </si>
  <si>
    <t>Snelbouwsteen</t>
  </si>
  <si>
    <t>W-PF</t>
  </si>
  <si>
    <r>
      <t>PolyFort</t>
    </r>
    <r>
      <rPr>
        <vertAlign val="superscript"/>
        <sz val="10"/>
        <rFont val="Arial"/>
        <family val="2"/>
      </rPr>
      <t>+</t>
    </r>
  </si>
  <si>
    <t>Lambda declared isolatie</t>
  </si>
  <si>
    <t>Bepleistering</t>
  </si>
  <si>
    <t>A</t>
  </si>
  <si>
    <t>m²</t>
  </si>
  <si>
    <t>Aantal bevestigers</t>
  </si>
  <si>
    <r>
      <t>a</t>
    </r>
    <r>
      <rPr>
        <sz val="10"/>
        <rFont val="Arial"/>
        <family val="2"/>
      </rPr>
      <t xml:space="preserve"> =</t>
    </r>
  </si>
  <si>
    <t>nr</t>
  </si>
  <si>
    <t>aant</t>
  </si>
  <si>
    <t>R</t>
  </si>
  <si>
    <t>Pleisterlaag</t>
  </si>
  <si>
    <t>Luchtspouw &lt; 30 mm</t>
  </si>
  <si>
    <t>Factoren</t>
  </si>
  <si>
    <t>a</t>
  </si>
  <si>
    <r>
      <t>R</t>
    </r>
    <r>
      <rPr>
        <vertAlign val="subscript"/>
        <sz val="10"/>
        <rFont val="Arial"/>
        <family val="2"/>
      </rPr>
      <t>si</t>
    </r>
  </si>
  <si>
    <r>
      <t>R</t>
    </r>
    <r>
      <rPr>
        <vertAlign val="subscript"/>
        <sz val="10"/>
        <rFont val="Arial"/>
        <family val="2"/>
      </rPr>
      <t>se</t>
    </r>
  </si>
  <si>
    <t>Buitenspouwblad =</t>
  </si>
  <si>
    <t>Luchtspouw =</t>
  </si>
  <si>
    <r>
      <t>Isolatie</t>
    </r>
    <r>
      <rPr>
        <sz val="10"/>
        <rFont val="Arial"/>
        <family val="2"/>
      </rPr>
      <t xml:space="preserve"> =</t>
    </r>
  </si>
  <si>
    <t>Binnenspouwblad =</t>
  </si>
  <si>
    <t>Pleisterwerk =</t>
  </si>
  <si>
    <t>m</t>
  </si>
  <si>
    <r>
      <t>R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=</t>
    </r>
  </si>
  <si>
    <t>Kemisol</t>
  </si>
  <si>
    <t>EPS 100</t>
  </si>
  <si>
    <t>Isover</t>
  </si>
  <si>
    <t>mupan plus</t>
  </si>
  <si>
    <t>mupan facade</t>
  </si>
  <si>
    <t>easypan</t>
  </si>
  <si>
    <t>facade 100</t>
  </si>
  <si>
    <t>PAM E428</t>
  </si>
  <si>
    <t>Mupan</t>
  </si>
  <si>
    <t>Facade 40</t>
  </si>
  <si>
    <t>EN 6946, of = 0 als uitvoering conform ATG, anders conform EN 6946</t>
  </si>
  <si>
    <r>
      <t>D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g</t>
    </r>
  </si>
  <si>
    <t xml:space="preserve"> </t>
  </si>
  <si>
    <t>Gipspleister</t>
  </si>
  <si>
    <t>Bron: Butgb</t>
  </si>
  <si>
    <t>Bron: EN 6946</t>
  </si>
  <si>
    <t>Concurrentie isolatie</t>
  </si>
  <si>
    <t>MMMF 35</t>
  </si>
  <si>
    <t>MMMF 34</t>
  </si>
  <si>
    <t>MMMF 33</t>
  </si>
  <si>
    <t>XPS 34</t>
  </si>
  <si>
    <r>
      <t>R</t>
    </r>
    <r>
      <rPr>
        <vertAlign val="subscript"/>
        <sz val="16"/>
        <rFont val="Arial"/>
        <family val="2"/>
      </rPr>
      <t>D</t>
    </r>
    <r>
      <rPr>
        <sz val="16"/>
        <rFont val="Arial"/>
        <family val="2"/>
      </rPr>
      <t xml:space="preserve"> = </t>
    </r>
  </si>
  <si>
    <r>
      <t>R</t>
    </r>
    <r>
      <rPr>
        <vertAlign val="subscript"/>
        <sz val="16"/>
        <rFont val="Arial"/>
        <family val="2"/>
      </rPr>
      <t>D</t>
    </r>
    <r>
      <rPr>
        <sz val="16"/>
        <rFont val="Arial"/>
        <family val="2"/>
      </rPr>
      <t xml:space="preserve"> =</t>
    </r>
  </si>
  <si>
    <r>
      <t>R</t>
    </r>
    <r>
      <rPr>
        <vertAlign val="subscript"/>
        <sz val="16"/>
        <rFont val="Arial"/>
        <family val="2"/>
      </rPr>
      <t>C</t>
    </r>
    <r>
      <rPr>
        <sz val="16"/>
        <rFont val="Arial"/>
        <family val="2"/>
      </rPr>
      <t xml:space="preserve"> =</t>
    </r>
  </si>
  <si>
    <r>
      <t>U</t>
    </r>
    <r>
      <rPr>
        <vertAlign val="subscript"/>
        <sz val="16"/>
        <rFont val="Arial"/>
        <family val="2"/>
      </rPr>
      <t>C</t>
    </r>
    <r>
      <rPr>
        <sz val="16"/>
        <rFont val="Arial"/>
        <family val="2"/>
      </rPr>
      <t xml:space="preserve"> =</t>
    </r>
  </si>
  <si>
    <t>Porotherm silent brick</t>
  </si>
  <si>
    <t>Bron: Porotherm</t>
  </si>
  <si>
    <t>Porotherm PLS 90</t>
  </si>
  <si>
    <t>Porotherm PLS 140</t>
  </si>
  <si>
    <t>Porotherm Hogedruk 90</t>
  </si>
  <si>
    <t>Porotherm Hogedruk 140</t>
  </si>
  <si>
    <t>Baksteen</t>
  </si>
  <si>
    <t>Binnenspouwbladen ingevoerd</t>
  </si>
  <si>
    <r>
      <t xml:space="preserve">Gegalv. staal  </t>
    </r>
    <r>
      <rPr>
        <sz val="10"/>
        <rFont val="Arial"/>
        <family val="2"/>
      </rPr>
      <t>Ø</t>
    </r>
    <r>
      <rPr>
        <sz val="10"/>
        <rFont val="Arial"/>
        <family val="2"/>
      </rPr>
      <t xml:space="preserve"> 4,0 mm</t>
    </r>
  </si>
  <si>
    <r>
      <t xml:space="preserve">Gegalv. staal  </t>
    </r>
    <r>
      <rPr>
        <sz val="10"/>
        <rFont val="Arial"/>
        <family val="2"/>
      </rPr>
      <t>Ø</t>
    </r>
    <r>
      <rPr>
        <sz val="10"/>
        <rFont val="Arial"/>
        <family val="2"/>
      </rPr>
      <t xml:space="preserve"> 4,2 mm</t>
    </r>
  </si>
  <si>
    <r>
      <t xml:space="preserve">Gegalv. staal  </t>
    </r>
    <r>
      <rPr>
        <sz val="10"/>
        <rFont val="Arial"/>
        <family val="2"/>
      </rPr>
      <t>Ø</t>
    </r>
    <r>
      <rPr>
        <sz val="10"/>
        <rFont val="Arial"/>
        <family val="2"/>
      </rPr>
      <t xml:space="preserve"> 4,8 mm</t>
    </r>
  </si>
  <si>
    <r>
      <t>Beton</t>
    </r>
    <r>
      <rPr>
        <sz val="10"/>
        <rFont val="Arial"/>
        <family val="2"/>
      </rPr>
      <t>blokken lambda</t>
    </r>
    <r>
      <rPr>
        <sz val="10"/>
        <rFont val="Arial"/>
        <family val="2"/>
      </rPr>
      <t xml:space="preserve"> = 1,27 W/mK</t>
    </r>
  </si>
  <si>
    <t>Betonblokken lambda = 1,36 W/mK</t>
  </si>
  <si>
    <t>Cellenbeton lambda = 0,10 W/mK</t>
  </si>
  <si>
    <t>Cellenbeton lambda = 0,14 W/mK</t>
  </si>
  <si>
    <t>Cellenbeton lambda = 0,17 W/mK</t>
  </si>
  <si>
    <t>0 mm</t>
  </si>
  <si>
    <t>10 mm</t>
  </si>
  <si>
    <t>15 mm</t>
  </si>
  <si>
    <t>90 mm</t>
  </si>
  <si>
    <t xml:space="preserve">PROJECT:  </t>
  </si>
  <si>
    <t xml:space="preserve">Aanvrager:  </t>
  </si>
  <si>
    <t xml:space="preserve">Onderdeel:  </t>
  </si>
  <si>
    <t xml:space="preserve">Berekening R en U waarden spouwmuurconstructies </t>
  </si>
  <si>
    <t>Isolation</t>
  </si>
  <si>
    <t>Nederlands</t>
  </si>
  <si>
    <t>Français</t>
  </si>
  <si>
    <t>Taal</t>
  </si>
  <si>
    <r>
      <t xml:space="preserve">RVS </t>
    </r>
    <r>
      <rPr>
        <sz val="10"/>
        <rFont val="Arial"/>
        <family val="2"/>
      </rPr>
      <t>Ø 4,2 mm</t>
    </r>
  </si>
  <si>
    <r>
      <t xml:space="preserve">RVS </t>
    </r>
    <r>
      <rPr>
        <sz val="10"/>
        <rFont val="Arial"/>
        <family val="2"/>
      </rPr>
      <t>Ø 4,8 mm</t>
    </r>
  </si>
  <si>
    <t>Ned</t>
  </si>
  <si>
    <t>Frans</t>
  </si>
  <si>
    <r>
      <t xml:space="preserve">U +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+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f</t>
    </r>
  </si>
  <si>
    <r>
      <t>U = 1/R</t>
    </r>
    <r>
      <rPr>
        <vertAlign val="subscript"/>
        <sz val="10"/>
        <rFont val="Arial"/>
        <family val="2"/>
      </rPr>
      <t>tot</t>
    </r>
  </si>
  <si>
    <t>Lay-out afgewerkt en Franstalige versie toegevoegd, incl taalkeuzeknop</t>
  </si>
  <si>
    <t xml:space="preserve">90 mm </t>
  </si>
  <si>
    <t xml:space="preserve">herberekening conform dit programma is door IsoBouw Systems bv mogelijk. Dit programma is intellectueel </t>
  </si>
  <si>
    <t xml:space="preserve">Aan de uitkomsten van dit programma kunnen geen rechten bij IsoBouw Systems bv worden ontleend. Een </t>
  </si>
  <si>
    <t>Kalkzandsteen lambda = 0,50 W/mK</t>
  </si>
  <si>
    <r>
      <t>Kalkzandsteen lambda = 0,70 W/mK</t>
    </r>
    <r>
      <rPr>
        <sz val="10"/>
        <rFont val="Arial"/>
        <family val="2"/>
      </rPr>
      <t/>
    </r>
  </si>
  <si>
    <r>
      <t>Kalkzandsteen lambda = 0,93 W/mK</t>
    </r>
    <r>
      <rPr>
        <sz val="10"/>
        <rFont val="Arial"/>
        <family val="2"/>
      </rPr>
      <t/>
    </r>
  </si>
  <si>
    <t>Points de départ:</t>
  </si>
  <si>
    <t>Demandeur:</t>
  </si>
  <si>
    <t>Section:</t>
  </si>
  <si>
    <t>Brique</t>
  </si>
  <si>
    <t>Plâtre</t>
  </si>
  <si>
    <t>Plâtrage</t>
  </si>
  <si>
    <t>Vide d'air</t>
  </si>
  <si>
    <t>Sorte et nombre d'attaches</t>
  </si>
  <si>
    <t>IsoBouw Systems bv ne peut en aucun cas être tenu pour responsable quant aux résultats de ce</t>
  </si>
  <si>
    <t xml:space="preserve">Chiffrage des valeurs R et U des constructions de murs creux conformément </t>
  </si>
  <si>
    <t>eigendom van IsoBouw Systems bv en mag als zodanig niet worden aangepast op welke wijze dan ook. ©</t>
  </si>
  <si>
    <r>
      <t xml:space="preserve">Acier inoxydable </t>
    </r>
    <r>
      <rPr>
        <sz val="10"/>
        <rFont val="Arial"/>
        <family val="2"/>
      </rPr>
      <t>Ø 4,2 mm</t>
    </r>
  </si>
  <si>
    <r>
      <t xml:space="preserve">Acier inoxydable </t>
    </r>
    <r>
      <rPr>
        <sz val="10"/>
        <rFont val="Arial"/>
        <family val="2"/>
      </rPr>
      <t>Ø</t>
    </r>
    <r>
      <rPr>
        <sz val="10"/>
        <rFont val="Arial"/>
        <family val="2"/>
      </rPr>
      <t xml:space="preserve"> 4,8 mm</t>
    </r>
  </si>
  <si>
    <r>
      <t xml:space="preserve">Acier galvanisé  </t>
    </r>
    <r>
      <rPr>
        <sz val="10"/>
        <rFont val="Arial"/>
        <family val="2"/>
      </rPr>
      <t>Ø</t>
    </r>
    <r>
      <rPr>
        <sz val="10"/>
        <rFont val="Arial"/>
        <family val="2"/>
      </rPr>
      <t xml:space="preserve"> 4,0 mm</t>
    </r>
  </si>
  <si>
    <r>
      <t xml:space="preserve">Acier galvanisé  </t>
    </r>
    <r>
      <rPr>
        <sz val="10"/>
        <rFont val="Arial"/>
        <family val="2"/>
      </rPr>
      <t>Ø</t>
    </r>
    <r>
      <rPr>
        <sz val="10"/>
        <rFont val="Arial"/>
        <family val="2"/>
      </rPr>
      <t xml:space="preserve"> 4,2 mm</t>
    </r>
  </si>
  <si>
    <r>
      <t xml:space="preserve">Acier galvanisé  </t>
    </r>
    <r>
      <rPr>
        <sz val="10"/>
        <rFont val="Arial"/>
        <family val="2"/>
      </rPr>
      <t>Ø</t>
    </r>
    <r>
      <rPr>
        <sz val="10"/>
        <rFont val="Arial"/>
        <family val="2"/>
      </rPr>
      <t xml:space="preserve"> 4,8 mm</t>
    </r>
  </si>
  <si>
    <t>Paroi extérieur</t>
  </si>
  <si>
    <t>Paroi intérieur</t>
  </si>
  <si>
    <t xml:space="preserve">conform STS 08.82 en Butgb-informatieblad </t>
  </si>
  <si>
    <t xml:space="preserve">au STS 08.82 et le Feuillet d'information de l'UBAtc "Mur creux isolés </t>
  </si>
  <si>
    <t>programme. Conformément à ce programme, IsoBouw Systems bv est en mesure de procéder à un</t>
  </si>
  <si>
    <t>recalcul. Ce programme est la propriété intellectuelle d'IsoBouw Systems bv et ne doit, en tant que</t>
  </si>
  <si>
    <t>tel, pas être modifié, de quelque manière que ce soit. ©</t>
  </si>
  <si>
    <r>
      <t>Blocs de béton</t>
    </r>
    <r>
      <rPr>
        <sz val="10"/>
        <rFont val="Arial"/>
        <family val="2"/>
      </rPr>
      <t xml:space="preserve"> lambda</t>
    </r>
    <r>
      <rPr>
        <sz val="10"/>
        <rFont val="Arial"/>
        <family val="2"/>
      </rPr>
      <t xml:space="preserve"> = 1,27 W/mK</t>
    </r>
  </si>
  <si>
    <t>Blocs de béton lambda = 1,36 W/mK</t>
  </si>
  <si>
    <t>Béton cellulaire lambda = 0,10 W/mK</t>
  </si>
  <si>
    <t>Béton cellulaire lambda = 0,14 W/mK</t>
  </si>
  <si>
    <t>Béton cellulaire lambda = 0,17 W/mK</t>
  </si>
  <si>
    <t>Blocs silico calcaire lambda = 0,50 W/mK</t>
  </si>
  <si>
    <r>
      <t>Blocs silico calcaire lambda = 0,93 W/mK</t>
    </r>
    <r>
      <rPr>
        <sz val="10"/>
        <rFont val="Arial"/>
        <family val="2"/>
      </rPr>
      <t/>
    </r>
  </si>
  <si>
    <t>Porotherm Silentbrick</t>
  </si>
  <si>
    <t>Bloc treilli</t>
  </si>
  <si>
    <t>Creux &lt; 30 mm</t>
  </si>
  <si>
    <t>Creux, non ventilé, 30 mm</t>
  </si>
  <si>
    <t>Creux, ventilé moyènnement, 30 mm</t>
  </si>
  <si>
    <r>
      <t>Blocs silico calcaire lambda = 0,70 W/mK</t>
    </r>
    <r>
      <rPr>
        <sz val="10"/>
        <rFont val="Arial"/>
        <family val="2"/>
      </rPr>
      <t/>
    </r>
  </si>
  <si>
    <t>Franse vertaling toegevoegd</t>
  </si>
  <si>
    <t>Bron: Butgb *)</t>
  </si>
  <si>
    <t xml:space="preserve">*) eig: </t>
  </si>
  <si>
    <t>*</t>
  </si>
  <si>
    <t>Alleen in NL versie t.b.v. project NB 80 mm beton binnenspouwblad ingevoerd.</t>
  </si>
  <si>
    <t>Beton lambda = 1,00 W/mK</t>
  </si>
  <si>
    <t>Béton lambda = 1,00 W/mK</t>
  </si>
  <si>
    <t>Ook Franse versie 80 mm Beton binnenspouwblad ingevoerd; lay out gestoomlijnd</t>
  </si>
  <si>
    <t>Werkblad standaardconstructie en dikte 60 mm toegevoegd</t>
  </si>
  <si>
    <t>Luchtspouw (30 mm zwak geventileerd)</t>
  </si>
  <si>
    <t xml:space="preserve">Ankers : 4 stuks /m² </t>
  </si>
  <si>
    <r>
      <t xml:space="preserve">Ø4 </t>
    </r>
    <r>
      <rPr>
        <sz val="10"/>
        <rFont val="Symbol"/>
        <family val="1"/>
        <charset val="2"/>
      </rPr>
      <t>l</t>
    </r>
    <r>
      <rPr>
        <sz val="10"/>
        <rFont val="Arial"/>
        <family val="2"/>
      </rPr>
      <t xml:space="preserve"> = 0,50</t>
    </r>
  </si>
  <si>
    <t>79 mm</t>
  </si>
  <si>
    <t>Isomo</t>
  </si>
  <si>
    <t>EPS 60</t>
  </si>
  <si>
    <t>EPS 60 (grijs?)</t>
  </si>
  <si>
    <t>met 2 zijdig alufolie</t>
  </si>
  <si>
    <t>EPS 60 HR 30</t>
  </si>
  <si>
    <t>EPS 60 HR 31</t>
  </si>
  <si>
    <t>Alu folie</t>
  </si>
  <si>
    <t>Alufolie</t>
  </si>
  <si>
    <t>ja</t>
  </si>
  <si>
    <t>nee</t>
  </si>
  <si>
    <t>Alufolie =</t>
  </si>
  <si>
    <t>Dikten (vrije materialen)</t>
  </si>
  <si>
    <t>Dikten 79, 93 en 109 mm toegevoegd</t>
  </si>
  <si>
    <t>Vrije dikten 30 - 100 mm en alufolie bij Contr conc toegevoegd</t>
  </si>
  <si>
    <t>binnen</t>
  </si>
  <si>
    <t>hout</t>
  </si>
  <si>
    <t>EPS HR (PolyFort)</t>
  </si>
  <si>
    <t>folie</t>
  </si>
  <si>
    <t>steen</t>
  </si>
  <si>
    <t>buiten</t>
  </si>
  <si>
    <t>correctie</t>
  </si>
  <si>
    <r>
      <t>R</t>
    </r>
    <r>
      <rPr>
        <b/>
        <vertAlign val="subscript"/>
        <sz val="12"/>
        <rFont val="Arial"/>
        <family val="2"/>
      </rPr>
      <t>tot</t>
    </r>
  </si>
  <si>
    <t>spouw, 30 mm licht geventileerd</t>
  </si>
  <si>
    <t>basis</t>
  </si>
  <si>
    <t>ED-PSP (5 plis)</t>
  </si>
  <si>
    <t>ED-PSP (3 plis)</t>
  </si>
  <si>
    <t>ED-BSP (7 plis)</t>
  </si>
  <si>
    <t>MHM</t>
  </si>
  <si>
    <r>
      <t>Waarden PolyFort</t>
    </r>
    <r>
      <rPr>
        <vertAlign val="superscript"/>
        <sz val="10"/>
        <rFont val="Arial"/>
        <family val="2"/>
      </rPr>
      <t>+</t>
    </r>
  </si>
  <si>
    <t>(m²K/W)</t>
  </si>
  <si>
    <t>dikte</t>
  </si>
  <si>
    <t>(mm)</t>
  </si>
  <si>
    <t>PolyFort+</t>
  </si>
  <si>
    <t>XPS **</t>
  </si>
  <si>
    <t>MW **</t>
  </si>
  <si>
    <t>(W/m²K)</t>
  </si>
  <si>
    <r>
      <t>U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*</t>
    </r>
  </si>
  <si>
    <t>* Bij gelijke gevelopbouw</t>
  </si>
  <si>
    <t>gegalvaniseerd staal Ø 4</t>
  </si>
  <si>
    <t>Decker toegevoegd</t>
  </si>
  <si>
    <t>Vergelijk t.b.v. brochures toegevoegd</t>
  </si>
  <si>
    <t>**: Lambda declared XPS = 0,034 tot 60 mm, daarboven 0,036 en MW = 0,035 W/mK</t>
  </si>
  <si>
    <t>XPS 36</t>
  </si>
  <si>
    <t>Lambda 0,036 voor XPS (≥ 60 mm dik) toegevoegd</t>
  </si>
  <si>
    <t>PU 23</t>
  </si>
  <si>
    <t>PU 24</t>
  </si>
  <si>
    <t>PU 25</t>
  </si>
  <si>
    <t>PU 26</t>
  </si>
  <si>
    <t>PU 27</t>
  </si>
  <si>
    <t>PU 28</t>
  </si>
  <si>
    <t>PU 29</t>
  </si>
  <si>
    <t>Diverse PURren toegevoegd (t.b.v.Contr conc.)</t>
  </si>
  <si>
    <t xml:space="preserve">Butgb-informatieblad Geïsoleerde spouwmuren met gevelmetselwerk </t>
  </si>
  <si>
    <t>STS 08.82 Materialen voor thermische isolatie</t>
  </si>
  <si>
    <t xml:space="preserve">"Geïsoleerde spouwmuren met gevelmetselwerk" </t>
  </si>
  <si>
    <t xml:space="preserve">de façades et maçonnerie" </t>
  </si>
  <si>
    <t>110 mm</t>
  </si>
  <si>
    <t>2 x 110 mm</t>
  </si>
  <si>
    <t>196 mm</t>
  </si>
  <si>
    <t>165 mm</t>
  </si>
  <si>
    <t>134 mm</t>
  </si>
  <si>
    <t>124 mm</t>
  </si>
  <si>
    <t>110+124mm</t>
  </si>
  <si>
    <t>110+134 mm</t>
  </si>
  <si>
    <t>110+165mm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</si>
</sst>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_-* #,##0.00\-;_-* &quot;-&quot;??_-;_-@_-"/>
    <numFmt numFmtId="165" formatCode="0.0000000"/>
    <numFmt numFmtId="166" formatCode="0.00000"/>
    <numFmt numFmtId="167" formatCode="0.0000"/>
    <numFmt numFmtId="168" formatCode="0.000"/>
    <numFmt numFmtId="169" formatCode="dd/mm/yy;@"/>
  </numFmts>
  <fonts count="15" x14ac:knownFonts="1">
    <font>
      <sz val="10"/>
      <name val="Arial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vertAlign val="subscript"/>
      <sz val="16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vertAlign val="subscript"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thin">
        <color indexed="64"/>
      </bottom>
      <diagonal/>
    </border>
    <border>
      <left style="medium">
        <color indexed="10"/>
      </left>
      <right/>
      <top/>
      <bottom style="thin">
        <color indexed="64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10"/>
      </right>
      <top/>
      <bottom style="thin">
        <color indexed="64"/>
      </bottom>
      <diagonal/>
    </border>
    <border>
      <left/>
      <right/>
      <top style="medium">
        <color indexed="10"/>
      </top>
      <bottom style="thin">
        <color indexed="64"/>
      </bottom>
      <diagonal/>
    </border>
    <border>
      <left/>
      <right style="medium">
        <color indexed="10"/>
      </right>
      <top style="medium">
        <color indexed="1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8" fillId="4" borderId="0" xfId="0" applyFont="1" applyFill="1"/>
    <xf numFmtId="2" fontId="8" fillId="4" borderId="0" xfId="0" applyNumberFormat="1" applyFont="1" applyFill="1"/>
    <xf numFmtId="0" fontId="0" fillId="4" borderId="0" xfId="0" applyFill="1"/>
    <xf numFmtId="0" fontId="0" fillId="0" borderId="0" xfId="0" applyFill="1"/>
    <xf numFmtId="169" fontId="0" fillId="0" borderId="0" xfId="0" applyNumberFormat="1"/>
    <xf numFmtId="0" fontId="0" fillId="0" borderId="0" xfId="0" applyFill="1" applyAlignment="1">
      <alignment horizontal="center"/>
    </xf>
    <xf numFmtId="0" fontId="6" fillId="0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0" fillId="0" borderId="0" xfId="0" applyFont="1"/>
    <xf numFmtId="0" fontId="8" fillId="0" borderId="0" xfId="0" applyFont="1" applyFill="1"/>
    <xf numFmtId="2" fontId="8" fillId="0" borderId="0" xfId="0" applyNumberFormat="1" applyFont="1" applyFill="1"/>
    <xf numFmtId="0" fontId="0" fillId="0" borderId="0" xfId="0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1" fillId="0" borderId="0" xfId="0" applyFont="1" applyBorder="1" applyAlignment="1" applyProtection="1">
      <alignment horizontal="left"/>
      <protection locked="0"/>
    </xf>
    <xf numFmtId="0" fontId="7" fillId="0" borderId="0" xfId="0" applyFont="1" applyBorder="1"/>
    <xf numFmtId="0" fontId="11" fillId="0" borderId="0" xfId="0" applyFont="1" applyBorder="1" applyAlignment="1"/>
    <xf numFmtId="0" fontId="0" fillId="0" borderId="0" xfId="0" applyBorder="1" applyAlignment="1"/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5" borderId="0" xfId="0" applyFont="1" applyFill="1"/>
    <xf numFmtId="0" fontId="0" fillId="5" borderId="0" xfId="0" applyFill="1"/>
    <xf numFmtId="0" fontId="0" fillId="3" borderId="9" xfId="0" applyFill="1" applyBorder="1"/>
    <xf numFmtId="0" fontId="0" fillId="3" borderId="10" xfId="0" applyFill="1" applyBorder="1"/>
    <xf numFmtId="0" fontId="0" fillId="3" borderId="13" xfId="0" applyFill="1" applyBorder="1"/>
    <xf numFmtId="0" fontId="0" fillId="3" borderId="17" xfId="0" applyFill="1" applyBorder="1"/>
    <xf numFmtId="0" fontId="12" fillId="3" borderId="8" xfId="0" applyFont="1" applyFill="1" applyBorder="1"/>
    <xf numFmtId="0" fontId="12" fillId="3" borderId="7" xfId="0" applyFont="1" applyFill="1" applyBorder="1"/>
    <xf numFmtId="0" fontId="0" fillId="0" borderId="0" xfId="0" applyFill="1" applyAlignment="1" applyProtection="1">
      <alignment horizontal="left"/>
      <protection hidden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18" xfId="0" applyFill="1" applyBorder="1" applyAlignment="1">
      <alignment horizontal="center"/>
    </xf>
    <xf numFmtId="167" fontId="0" fillId="3" borderId="19" xfId="0" applyNumberForma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68" fontId="0" fillId="3" borderId="20" xfId="0" applyNumberFormat="1" applyFill="1" applyBorder="1" applyAlignment="1">
      <alignment horizontal="center"/>
    </xf>
    <xf numFmtId="168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3" borderId="20" xfId="0" applyNumberForma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0" fontId="10" fillId="0" borderId="0" xfId="0" applyFont="1" applyBorder="1"/>
    <xf numFmtId="0" fontId="0" fillId="0" borderId="21" xfId="0" applyBorder="1"/>
    <xf numFmtId="0" fontId="0" fillId="0" borderId="22" xfId="0" applyBorder="1"/>
    <xf numFmtId="2" fontId="8" fillId="5" borderId="0" xfId="0" applyNumberFormat="1" applyFont="1" applyFill="1" applyAlignment="1">
      <alignment horizontal="center"/>
    </xf>
    <xf numFmtId="0" fontId="0" fillId="3" borderId="0" xfId="0" applyFill="1" applyBorder="1"/>
    <xf numFmtId="0" fontId="12" fillId="3" borderId="11" xfId="0" applyFont="1" applyFill="1" applyBorder="1"/>
    <xf numFmtId="0" fontId="0" fillId="3" borderId="23" xfId="0" applyFill="1" applyBorder="1"/>
    <xf numFmtId="0" fontId="0" fillId="0" borderId="24" xfId="0" applyBorder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</xf>
    <xf numFmtId="11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10" fillId="0" borderId="0" xfId="0" applyFont="1" applyProtection="1">
      <protection locked="0"/>
    </xf>
    <xf numFmtId="167" fontId="0" fillId="0" borderId="0" xfId="0" applyNumberFormat="1"/>
    <xf numFmtId="168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12" fillId="0" borderId="30" xfId="0" applyFont="1" applyBorder="1"/>
    <xf numFmtId="0" fontId="12" fillId="0" borderId="3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0" fillId="6" borderId="0" xfId="0" applyFill="1"/>
    <xf numFmtId="0" fontId="0" fillId="6" borderId="25" xfId="0" applyFill="1" applyBorder="1"/>
    <xf numFmtId="0" fontId="0" fillId="6" borderId="26" xfId="0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/>
    <xf numFmtId="0" fontId="0" fillId="6" borderId="0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12" fillId="7" borderId="0" xfId="0" applyFont="1" applyFill="1" applyBorder="1"/>
    <xf numFmtId="0" fontId="12" fillId="7" borderId="0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7" borderId="25" xfId="0" applyFill="1" applyBorder="1"/>
    <xf numFmtId="0" fontId="0" fillId="7" borderId="26" xfId="0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8" xfId="0" applyFill="1" applyBorder="1"/>
    <xf numFmtId="0" fontId="0" fillId="7" borderId="0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12" fillId="7" borderId="30" xfId="0" applyFont="1" applyFill="1" applyBorder="1"/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0" fillId="8" borderId="0" xfId="0" applyFill="1"/>
    <xf numFmtId="0" fontId="0" fillId="8" borderId="25" xfId="0" applyFill="1" applyBorder="1"/>
    <xf numFmtId="0" fontId="0" fillId="8" borderId="26" xfId="0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/>
    <xf numFmtId="0" fontId="0" fillId="8" borderId="0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12" fillId="8" borderId="30" xfId="0" applyFont="1" applyFill="1" applyBorder="1"/>
    <xf numFmtId="0" fontId="12" fillId="8" borderId="31" xfId="0" applyFont="1" applyFill="1" applyBorder="1" applyAlignment="1">
      <alignment horizontal="center"/>
    </xf>
    <xf numFmtId="0" fontId="7" fillId="8" borderId="0" xfId="0" applyFont="1" applyFill="1"/>
    <xf numFmtId="0" fontId="7" fillId="6" borderId="0" xfId="0" applyFont="1" applyFill="1"/>
    <xf numFmtId="0" fontId="0" fillId="6" borderId="0" xfId="0" applyFill="1" applyBorder="1"/>
    <xf numFmtId="0" fontId="7" fillId="9" borderId="0" xfId="0" applyFont="1" applyFill="1"/>
    <xf numFmtId="0" fontId="0" fillId="9" borderId="0" xfId="0" applyFill="1"/>
    <xf numFmtId="0" fontId="0" fillId="9" borderId="25" xfId="0" applyFill="1" applyBorder="1"/>
    <xf numFmtId="0" fontId="0" fillId="9" borderId="26" xfId="0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0" fillId="9" borderId="28" xfId="0" applyFill="1" applyBorder="1"/>
    <xf numFmtId="0" fontId="0" fillId="9" borderId="0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12" fillId="9" borderId="30" xfId="0" applyFont="1" applyFill="1" applyBorder="1"/>
    <xf numFmtId="0" fontId="12" fillId="9" borderId="31" xfId="0" applyFont="1" applyFill="1" applyBorder="1" applyAlignment="1">
      <alignment horizontal="center"/>
    </xf>
    <xf numFmtId="2" fontId="12" fillId="0" borderId="32" xfId="0" applyNumberFormat="1" applyFont="1" applyBorder="1" applyAlignment="1">
      <alignment horizontal="center"/>
    </xf>
    <xf numFmtId="164" fontId="12" fillId="7" borderId="30" xfId="1" applyFont="1" applyFill="1" applyBorder="1"/>
    <xf numFmtId="164" fontId="12" fillId="7" borderId="31" xfId="1" applyFont="1" applyFill="1" applyBorder="1" applyAlignment="1">
      <alignment horizontal="center"/>
    </xf>
    <xf numFmtId="164" fontId="0" fillId="7" borderId="0" xfId="1" applyFont="1" applyFill="1"/>
    <xf numFmtId="164" fontId="0" fillId="0" borderId="0" xfId="1" applyFont="1"/>
    <xf numFmtId="164" fontId="12" fillId="8" borderId="30" xfId="1" applyFont="1" applyFill="1" applyBorder="1"/>
    <xf numFmtId="164" fontId="12" fillId="8" borderId="31" xfId="1" applyFont="1" applyFill="1" applyBorder="1" applyAlignment="1">
      <alignment horizontal="center"/>
    </xf>
    <xf numFmtId="164" fontId="0" fillId="8" borderId="0" xfId="1" applyNumberFormat="1" applyFont="1" applyFill="1"/>
    <xf numFmtId="164" fontId="12" fillId="8" borderId="30" xfId="1" applyNumberFormat="1" applyFont="1" applyFill="1" applyBorder="1"/>
    <xf numFmtId="164" fontId="12" fillId="8" borderId="31" xfId="1" applyNumberFormat="1" applyFont="1" applyFill="1" applyBorder="1" applyAlignment="1">
      <alignment horizontal="center"/>
    </xf>
    <xf numFmtId="164" fontId="0" fillId="0" borderId="0" xfId="1" applyNumberFormat="1" applyFont="1"/>
    <xf numFmtId="164" fontId="12" fillId="6" borderId="30" xfId="1" applyNumberFormat="1" applyFont="1" applyFill="1" applyBorder="1"/>
    <xf numFmtId="164" fontId="12" fillId="6" borderId="31" xfId="1" applyNumberFormat="1" applyFont="1" applyFill="1" applyBorder="1" applyAlignment="1">
      <alignment horizontal="center"/>
    </xf>
    <xf numFmtId="164" fontId="12" fillId="6" borderId="0" xfId="1" applyNumberFormat="1" applyFont="1" applyFill="1" applyBorder="1" applyAlignment="1">
      <alignment horizontal="center"/>
    </xf>
    <xf numFmtId="164" fontId="12" fillId="9" borderId="30" xfId="1" applyNumberFormat="1" applyFont="1" applyFill="1" applyBorder="1"/>
    <xf numFmtId="164" fontId="12" fillId="9" borderId="31" xfId="1" applyNumberFormat="1" applyFont="1" applyFill="1" applyBorder="1" applyAlignment="1">
      <alignment horizontal="center"/>
    </xf>
    <xf numFmtId="164" fontId="0" fillId="9" borderId="0" xfId="1" applyNumberFormat="1" applyFont="1" applyFill="1"/>
    <xf numFmtId="2" fontId="0" fillId="8" borderId="0" xfId="0" applyNumberFormat="1" applyFill="1"/>
    <xf numFmtId="2" fontId="12" fillId="8" borderId="30" xfId="0" applyNumberFormat="1" applyFont="1" applyFill="1" applyBorder="1"/>
    <xf numFmtId="2" fontId="12" fillId="8" borderId="31" xfId="0" applyNumberFormat="1" applyFont="1" applyFill="1" applyBorder="1" applyAlignment="1">
      <alignment horizontal="center"/>
    </xf>
    <xf numFmtId="2" fontId="12" fillId="6" borderId="30" xfId="0" applyNumberFormat="1" applyFont="1" applyFill="1" applyBorder="1"/>
    <xf numFmtId="2" fontId="12" fillId="6" borderId="31" xfId="0" applyNumberFormat="1" applyFont="1" applyFill="1" applyBorder="1" applyAlignment="1">
      <alignment horizontal="center"/>
    </xf>
    <xf numFmtId="2" fontId="12" fillId="6" borderId="0" xfId="0" applyNumberFormat="1" applyFont="1" applyFill="1" applyBorder="1" applyAlignment="1">
      <alignment horizontal="center"/>
    </xf>
    <xf numFmtId="2" fontId="12" fillId="9" borderId="30" xfId="0" applyNumberFormat="1" applyFont="1" applyFill="1" applyBorder="1"/>
    <xf numFmtId="2" fontId="12" fillId="9" borderId="31" xfId="0" applyNumberFormat="1" applyFont="1" applyFill="1" applyBorder="1" applyAlignment="1">
      <alignment horizontal="center"/>
    </xf>
    <xf numFmtId="2" fontId="0" fillId="9" borderId="0" xfId="0" applyNumberFormat="1" applyFill="1"/>
    <xf numFmtId="164" fontId="12" fillId="7" borderId="32" xfId="1" applyFont="1" applyFill="1" applyBorder="1" applyAlignment="1">
      <alignment horizontal="center"/>
    </xf>
    <xf numFmtId="2" fontId="12" fillId="7" borderId="32" xfId="0" applyNumberFormat="1" applyFont="1" applyFill="1" applyBorder="1" applyAlignment="1">
      <alignment horizontal="center"/>
    </xf>
    <xf numFmtId="1" fontId="12" fillId="7" borderId="32" xfId="0" applyNumberFormat="1" applyFont="1" applyFill="1" applyBorder="1" applyAlignment="1">
      <alignment horizontal="center"/>
    </xf>
    <xf numFmtId="164" fontId="12" fillId="8" borderId="32" xfId="1" applyNumberFormat="1" applyFont="1" applyFill="1" applyBorder="1" applyAlignment="1">
      <alignment horizontal="center"/>
    </xf>
    <xf numFmtId="2" fontId="12" fillId="8" borderId="32" xfId="0" applyNumberFormat="1" applyFont="1" applyFill="1" applyBorder="1" applyAlignment="1">
      <alignment horizontal="center"/>
    </xf>
    <xf numFmtId="164" fontId="12" fillId="6" borderId="32" xfId="1" applyNumberFormat="1" applyFont="1" applyFill="1" applyBorder="1" applyAlignment="1">
      <alignment horizontal="center"/>
    </xf>
    <xf numFmtId="2" fontId="12" fillId="6" borderId="32" xfId="0" applyNumberFormat="1" applyFont="1" applyFill="1" applyBorder="1" applyAlignment="1">
      <alignment horizontal="center"/>
    </xf>
    <xf numFmtId="164" fontId="12" fillId="9" borderId="32" xfId="1" applyNumberFormat="1" applyFont="1" applyFill="1" applyBorder="1" applyAlignment="1">
      <alignment horizontal="center"/>
    </xf>
    <xf numFmtId="2" fontId="12" fillId="9" borderId="3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11" fillId="0" borderId="31" xfId="0" applyFont="1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11" fillId="0" borderId="13" xfId="0" applyFont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1" fillId="0" borderId="34" xfId="0" applyFont="1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1" fillId="0" borderId="0" xfId="0" applyFont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5" dropStyle="combo" dx="16" fmlaLink="$D$58" fmlaRange="Geg!$B$53:$B$67" noThreeD="1" sel="7" val="0"/>
</file>

<file path=xl/ctrlProps/ctrlProp10.xml><?xml version="1.0" encoding="utf-8"?>
<formControlPr xmlns="http://schemas.microsoft.com/office/spreadsheetml/2009/9/main" objectType="Drop" dropLines="14" dropStyle="combo" dx="16" fmlaLink="$D$50" fmlaRange="Geg!$B$53:$B$66" noThreeD="1" sel="14" val="0"/>
</file>

<file path=xl/ctrlProps/ctrlProp11.xml><?xml version="1.0" encoding="utf-8"?>
<formControlPr xmlns="http://schemas.microsoft.com/office/spreadsheetml/2009/9/main" objectType="Drop" dropLines="5" dropStyle="combo" dx="16" fmlaLink="$D$57" fmlaRange="Geg!$B$121:$C$125" noThreeD="1" sel="3" val="0"/>
</file>

<file path=xl/ctrlProps/ctrlProp12.xml><?xml version="1.0" encoding="utf-8"?>
<formControlPr xmlns="http://schemas.microsoft.com/office/spreadsheetml/2009/9/main" objectType="Drop" dropLines="3" dropStyle="combo" dx="16" fmlaLink="$D$47" fmlaRange="Geg!$B$47:$B$49" noThreeD="1" sel="3" val="0"/>
</file>

<file path=xl/ctrlProps/ctrlProp13.xml><?xml version="1.0" encoding="utf-8"?>
<formControlPr xmlns="http://schemas.microsoft.com/office/spreadsheetml/2009/9/main" objectType="Drop" dropLines="14" dropStyle="combo" dx="16" fmlaLink="$E$49" fmlaRange="Geg!$B$103:$B$116" noThreeD="1" sel="6" val="0"/>
</file>

<file path=xl/ctrlProps/ctrlProp14.xml><?xml version="1.0" encoding="utf-8"?>
<formControlPr xmlns="http://schemas.microsoft.com/office/spreadsheetml/2009/9/main" objectType="Drop" dropLines="7" dropStyle="combo" dx="16" fmlaLink="$D$59" fmlaRange="Geg!$B$128:$B$134" noThreeD="1" sel="4" val="0"/>
</file>

<file path=xl/ctrlProps/ctrlProp15.xml><?xml version="1.0" encoding="utf-8"?>
<formControlPr xmlns="http://schemas.microsoft.com/office/spreadsheetml/2009/9/main" objectType="Drop" dropLines="3" dropStyle="combo" dx="16" fmlaLink="$E$51" fmlaRange="Geg!$E$71:$E$73" noThreeD="1" sel="2" val="0"/>
</file>

<file path=xl/ctrlProps/ctrlProp16.xml><?xml version="1.0" encoding="utf-8"?>
<formControlPr xmlns="http://schemas.microsoft.com/office/spreadsheetml/2009/9/main" objectType="Drop" dropLines="2" dropStyle="combo" dx="16" fmlaLink="$D$48" fmlaRange="Geg!$B$158:$B$159" noThreeD="1" sel="2" val="0"/>
</file>

<file path=xl/ctrlProps/ctrlProp2.xml><?xml version="1.0" encoding="utf-8"?>
<formControlPr xmlns="http://schemas.microsoft.com/office/spreadsheetml/2009/9/main" objectType="Drop" dropLines="5" dropStyle="combo" dx="16" fmlaLink="$D$65" fmlaRange="Geg!$B$121:$B$125" noThreeD="1" sel="1" val="0"/>
</file>

<file path=xl/ctrlProps/ctrlProp3.xml><?xml version="1.0" encoding="utf-8"?>
<formControlPr xmlns="http://schemas.microsoft.com/office/spreadsheetml/2009/9/main" objectType="Drop" dropLines="3" dropStyle="combo" dx="16" fmlaLink="$D$56" fmlaRange="Geg!$B$47:$B$49" noThreeD="1" sel="3" val="0"/>
</file>

<file path=xl/ctrlProps/ctrlProp4.xml><?xml version="1.0" encoding="utf-8"?>
<formControlPr xmlns="http://schemas.microsoft.com/office/spreadsheetml/2009/9/main" objectType="Drop" dropLines="6" dropStyle="combo" dx="16" fmlaLink="$E$57" fmlaRange="Geg!$C$86:$C$94" noThreeD="1" sel="5" val="3"/>
</file>

<file path=xl/ctrlProps/ctrlProp5.xml><?xml version="1.0" encoding="utf-8"?>
<formControlPr xmlns="http://schemas.microsoft.com/office/spreadsheetml/2009/9/main" objectType="Drop" dropLines="7" dropStyle="combo" dx="16" fmlaLink="$D$66" fmlaRange="Geg!$B$128:$B$134" noThreeD="1" sel="6" val="0"/>
</file>

<file path=xl/ctrlProps/ctrlProp6.xml><?xml version="1.0" encoding="utf-8"?>
<formControlPr xmlns="http://schemas.microsoft.com/office/spreadsheetml/2009/9/main" objectType="Drop" dropLines="3" dropStyle="combo" dx="16" fmlaLink="$E$59" fmlaRange="Geg!$E$71:$E$73" noThreeD="1" sel="2" val="0"/>
</file>

<file path=xl/ctrlProps/ctrlProp7.xml><?xml version="1.0" encoding="utf-8"?>
<formControlPr xmlns="http://schemas.microsoft.com/office/spreadsheetml/2009/9/main" objectType="Drop" dropLines="2" dropStyle="combo" dx="16" fmlaLink="$A$78" fmlaRange="Geg!$B$163:$B$164" noThreeD="1" sel="1" val="0"/>
</file>

<file path=xl/ctrlProps/ctrlProp8.xml><?xml version="1.0" encoding="utf-8"?>
<formControlPr xmlns="http://schemas.microsoft.com/office/spreadsheetml/2009/9/main" objectType="Drop" dropLines="2" dropStyle="combo" dx="16" fmlaLink="$D$46" fmlaRange="Geg!$B$43:$B$43" noThreeD="1" sel="1" val="0"/>
</file>

<file path=xl/ctrlProps/ctrlProp9.xml><?xml version="1.0" encoding="utf-8"?>
<formControlPr xmlns="http://schemas.microsoft.com/office/spreadsheetml/2009/9/main" objectType="Drop" dropLines="16" dropStyle="combo" dx="16" fmlaLink="$D$49" fmlaRange="Geg!$B$139:$B$154" noThreeD="1" sel="1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hyperlink" Target="http://www.isobouw.be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0</xdr:row>
          <xdr:rowOff>0</xdr:rowOff>
        </xdr:from>
        <xdr:to>
          <xdr:col>10</xdr:col>
          <xdr:colOff>647700</xdr:colOff>
          <xdr:row>1</xdr:row>
          <xdr:rowOff>209550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1638300</xdr:colOff>
      <xdr:row>0</xdr:row>
      <xdr:rowOff>0</xdr:rowOff>
    </xdr:from>
    <xdr:to>
      <xdr:col>11</xdr:col>
      <xdr:colOff>9525</xdr:colOff>
      <xdr:row>1</xdr:row>
      <xdr:rowOff>361950</xdr:rowOff>
    </xdr:to>
    <xdr:sp macro="" textlink="">
      <xdr:nvSpPr>
        <xdr:cNvPr id="1044" name="Rectangle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1638300" y="0"/>
          <a:ext cx="5781675" cy="561975"/>
        </a:xfrm>
        <a:prstGeom prst="rect">
          <a:avLst/>
        </a:prstGeom>
        <a:gradFill rotWithShape="1">
          <a:gsLst>
            <a:gs pos="0">
              <a:srgbClr val="E7792E"/>
            </a:gs>
            <a:gs pos="50000">
              <a:srgbClr val="731822"/>
            </a:gs>
            <a:gs pos="100000">
              <a:srgbClr val="E7792E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Taalkeuze / Choix de langue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10</xdr:col>
          <xdr:colOff>647700</xdr:colOff>
          <xdr:row>15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10</xdr:col>
          <xdr:colOff>647700</xdr:colOff>
          <xdr:row>16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10</xdr:col>
          <xdr:colOff>647700</xdr:colOff>
          <xdr:row>17</xdr:row>
          <xdr:rowOff>200025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0</xdr:row>
          <xdr:rowOff>171450</xdr:rowOff>
        </xdr:from>
        <xdr:to>
          <xdr:col>8</xdr:col>
          <xdr:colOff>66675</xdr:colOff>
          <xdr:row>1</xdr:row>
          <xdr:rowOff>190500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0</xdr:col>
      <xdr:colOff>9525</xdr:colOff>
      <xdr:row>0</xdr:row>
      <xdr:rowOff>0</xdr:rowOff>
    </xdr:from>
    <xdr:to>
      <xdr:col>1</xdr:col>
      <xdr:colOff>9525</xdr:colOff>
      <xdr:row>27</xdr:row>
      <xdr:rowOff>0</xdr:rowOff>
    </xdr:to>
    <xdr:sp macro="" textlink="">
      <xdr:nvSpPr>
        <xdr:cNvPr id="1156" name="Rectangle 19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 bwMode="auto">
        <a:xfrm>
          <a:off x="9525" y="0"/>
          <a:ext cx="1647825" cy="5953125"/>
        </a:xfrm>
        <a:prstGeom prst="rect">
          <a:avLst/>
        </a:prstGeom>
        <a:gradFill rotWithShape="1">
          <a:gsLst>
            <a:gs pos="0">
              <a:srgbClr val="E7792E"/>
            </a:gs>
            <a:gs pos="100000">
              <a:srgbClr val="731822"/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12</xdr:col>
      <xdr:colOff>9525</xdr:colOff>
      <xdr:row>2</xdr:row>
      <xdr:rowOff>66675</xdr:rowOff>
    </xdr:from>
    <xdr:to>
      <xdr:col>14</xdr:col>
      <xdr:colOff>0</xdr:colOff>
      <xdr:row>27</xdr:row>
      <xdr:rowOff>0</xdr:rowOff>
    </xdr:to>
    <xdr:sp macro="" textlink="">
      <xdr:nvSpPr>
        <xdr:cNvPr id="1157" name="Rectangle 2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rrowheads="1"/>
        </xdr:cNvSpPr>
      </xdr:nvSpPr>
      <xdr:spPr bwMode="auto">
        <a:xfrm>
          <a:off x="7534275" y="704850"/>
          <a:ext cx="1647825" cy="5248275"/>
        </a:xfrm>
        <a:prstGeom prst="rect">
          <a:avLst/>
        </a:prstGeom>
        <a:gradFill rotWithShape="1">
          <a:gsLst>
            <a:gs pos="0">
              <a:srgbClr val="E7792E"/>
            </a:gs>
            <a:gs pos="100000">
              <a:srgbClr val="731822"/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1</xdr:col>
      <xdr:colOff>0</xdr:colOff>
      <xdr:row>22</xdr:row>
      <xdr:rowOff>123825</xdr:rowOff>
    </xdr:from>
    <xdr:to>
      <xdr:col>12</xdr:col>
      <xdr:colOff>9525</xdr:colOff>
      <xdr:row>27</xdr:row>
      <xdr:rowOff>0</xdr:rowOff>
    </xdr:to>
    <xdr:sp macro="" textlink="">
      <xdr:nvSpPr>
        <xdr:cNvPr id="1158" name="Rectangle 2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/>
        </xdr:cNvSpPr>
      </xdr:nvSpPr>
      <xdr:spPr bwMode="auto">
        <a:xfrm>
          <a:off x="1647825" y="5067300"/>
          <a:ext cx="5886450" cy="885825"/>
        </a:xfrm>
        <a:prstGeom prst="rect">
          <a:avLst/>
        </a:prstGeom>
        <a:gradFill rotWithShape="1">
          <a:gsLst>
            <a:gs pos="0">
              <a:srgbClr val="731822"/>
            </a:gs>
            <a:gs pos="50000">
              <a:srgbClr val="E7792E"/>
            </a:gs>
            <a:gs pos="100000">
              <a:srgbClr val="731822"/>
            </a:gs>
          </a:gsLst>
          <a:lin ang="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12</xdr:col>
      <xdr:colOff>95250</xdr:colOff>
      <xdr:row>3</xdr:row>
      <xdr:rowOff>85725</xdr:rowOff>
    </xdr:from>
    <xdr:to>
      <xdr:col>13</xdr:col>
      <xdr:colOff>1466850</xdr:colOff>
      <xdr:row>11</xdr:row>
      <xdr:rowOff>47625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7620000" y="923925"/>
          <a:ext cx="148590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000" tIns="54000" rIns="90000" bIns="468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IsoBouw Systems bv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Kanaalstraat 107, NL-5711 EG  Someren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Postbus 1, NL-5710 AA  Someren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Tel. 0031-49349 81 11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Fax 0031-49349 59 71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e-mail: info@isobouw.be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web: www.isobouw.be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 fPrintsWithSheet="0"/>
  </xdr:twoCellAnchor>
  <xdr:twoCellAnchor editAs="oneCell">
    <xdr:from>
      <xdr:col>13</xdr:col>
      <xdr:colOff>457200</xdr:colOff>
      <xdr:row>18</xdr:row>
      <xdr:rowOff>104775</xdr:rowOff>
    </xdr:from>
    <xdr:to>
      <xdr:col>13</xdr:col>
      <xdr:colOff>981075</xdr:colOff>
      <xdr:row>20</xdr:row>
      <xdr:rowOff>133350</xdr:rowOff>
    </xdr:to>
    <xdr:pic>
      <xdr:nvPicPr>
        <xdr:cNvPr id="1160" name="Picture 25" descr="earth+groot">
          <a:hlinkClick xmlns:r="http://schemas.openxmlformats.org/officeDocument/2006/relationships" r:id="rId1" tooltip="Naar de website van IsoBouw"/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396240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13</xdr:col>
      <xdr:colOff>38100</xdr:colOff>
      <xdr:row>21</xdr:row>
      <xdr:rowOff>38100</xdr:rowOff>
    </xdr:from>
    <xdr:to>
      <xdr:col>13</xdr:col>
      <xdr:colOff>1514475</xdr:colOff>
      <xdr:row>21</xdr:row>
      <xdr:rowOff>266700</xdr:rowOff>
    </xdr:to>
    <xdr:sp macro="" textlink="">
      <xdr:nvSpPr>
        <xdr:cNvPr id="1050" name="Text Box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7677150" y="4686300"/>
          <a:ext cx="14763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93B17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www.isobouw.be</a:t>
          </a:r>
        </a:p>
      </xdr:txBody>
    </xdr:sp>
    <xdr:clientData fPrintsWithSheet="0"/>
  </xdr:twoCellAnchor>
  <xdr:twoCellAnchor editAs="oneCell">
    <xdr:from>
      <xdr:col>12</xdr:col>
      <xdr:colOff>9525</xdr:colOff>
      <xdr:row>0</xdr:row>
      <xdr:rowOff>0</xdr:rowOff>
    </xdr:from>
    <xdr:to>
      <xdr:col>14</xdr:col>
      <xdr:colOff>19050</xdr:colOff>
      <xdr:row>2</xdr:row>
      <xdr:rowOff>28575</xdr:rowOff>
    </xdr:to>
    <xdr:pic>
      <xdr:nvPicPr>
        <xdr:cNvPr id="1162" name="Picture 3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0"/>
          <a:ext cx="1666875" cy="666750"/>
        </a:xfrm>
        <a:prstGeom prst="rect">
          <a:avLst/>
        </a:prstGeom>
        <a:solidFill>
          <a:srgbClr val="E7792E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6</xdr:col>
          <xdr:colOff>942975</xdr:colOff>
          <xdr:row>28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6</xdr:col>
          <xdr:colOff>942975</xdr:colOff>
          <xdr:row>31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6</xdr:col>
          <xdr:colOff>942975</xdr:colOff>
          <xdr:row>33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6</xdr:col>
          <xdr:colOff>942975</xdr:colOff>
          <xdr:row>32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6</xdr:col>
          <xdr:colOff>942975</xdr:colOff>
          <xdr:row>29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19050</xdr:colOff>
          <xdr:row>31</xdr:row>
          <xdr:rowOff>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19050</xdr:colOff>
          <xdr:row>32</xdr:row>
          <xdr:rowOff>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8</xdr:col>
          <xdr:colOff>9525</xdr:colOff>
          <xdr:row>34</xdr:row>
          <xdr:rowOff>0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6</xdr:col>
          <xdr:colOff>942975</xdr:colOff>
          <xdr:row>30</xdr:row>
          <xdr:rowOff>19050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54000" tIns="540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54000" tIns="54000" rIns="90000" bIns="46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Microsoft_Word_97_-_2003_Document.doc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2"/>
    <pageSetUpPr autoPageBreaks="0"/>
  </sheetPr>
  <dimension ref="A1:Q82"/>
  <sheetViews>
    <sheetView windowProtection="1" showGridLines="0" showRowColHeaders="0" showZeros="0" tabSelected="1" showOutlineSymbols="0" workbookViewId="0">
      <selection activeCell="J18" sqref="J18"/>
    </sheetView>
  </sheetViews>
  <sheetFormatPr defaultRowHeight="12.75" x14ac:dyDescent="0.2"/>
  <cols>
    <col min="1" max="1" width="24.7109375" customWidth="1"/>
    <col min="2" max="2" width="1.7109375" customWidth="1"/>
    <col min="3" max="3" width="12.85546875" customWidth="1"/>
    <col min="4" max="4" width="5.140625" customWidth="1"/>
    <col min="5" max="5" width="5.7109375" customWidth="1"/>
    <col min="6" max="6" width="7.5703125" customWidth="1"/>
    <col min="7" max="7" width="7.42578125" customWidth="1"/>
    <col min="8" max="8" width="7.28515625" customWidth="1"/>
    <col min="9" max="9" width="13.7109375" customWidth="1"/>
    <col min="10" max="10" width="15.140625" customWidth="1"/>
    <col min="11" max="11" width="9.85546875" customWidth="1"/>
    <col min="12" max="13" width="1.7109375" customWidth="1"/>
    <col min="14" max="14" width="23.140625" customWidth="1"/>
  </cols>
  <sheetData>
    <row r="1" spans="1:14" ht="15.75" customHeight="1" x14ac:dyDescent="0.2">
      <c r="A1" s="22">
        <v>2</v>
      </c>
      <c r="B1" s="22"/>
      <c r="C1" s="52"/>
    </row>
    <row r="2" spans="1:14" ht="34.5" customHeight="1" thickBot="1" x14ac:dyDescent="0.25"/>
    <row r="3" spans="1:14" ht="15.75" x14ac:dyDescent="0.25">
      <c r="C3" s="50" t="str">
        <f>IF(A78=1,Geg!B166,Geg!I166)</f>
        <v xml:space="preserve">Berekening R en U waarden spouwmuurconstructies </v>
      </c>
      <c r="D3" s="46"/>
      <c r="E3" s="46"/>
      <c r="F3" s="46"/>
      <c r="G3" s="46"/>
      <c r="H3" s="46"/>
      <c r="I3" s="46"/>
      <c r="J3" s="46"/>
      <c r="K3" s="47"/>
      <c r="L3" s="25"/>
      <c r="M3" s="25"/>
      <c r="N3" s="25"/>
    </row>
    <row r="4" spans="1:14" ht="15.75" x14ac:dyDescent="0.25">
      <c r="C4" s="68" t="str">
        <f>IF(A78=1,Geg!B167,Geg!I167)</f>
        <v xml:space="preserve">conform STS 08.82 en Butgb-informatieblad </v>
      </c>
      <c r="D4" s="67"/>
      <c r="E4" s="67"/>
      <c r="F4" s="67"/>
      <c r="G4" s="67"/>
      <c r="H4" s="67"/>
      <c r="I4" s="67"/>
      <c r="J4" s="67"/>
      <c r="K4" s="69"/>
      <c r="L4" s="25"/>
      <c r="M4" s="25"/>
      <c r="N4" s="25"/>
    </row>
    <row r="5" spans="1:14" ht="15.95" customHeight="1" thickBot="1" x14ac:dyDescent="0.3">
      <c r="C5" s="51" t="str">
        <f>IF(A78=1,Geg!B168,Geg!I168)</f>
        <v xml:space="preserve">"Geïsoleerde spouwmuren met gevelmetselwerk" </v>
      </c>
      <c r="D5" s="48"/>
      <c r="E5" s="48"/>
      <c r="F5" s="48"/>
      <c r="G5" s="48"/>
      <c r="H5" s="48"/>
      <c r="I5" s="48"/>
      <c r="J5" s="48"/>
      <c r="K5" s="49"/>
      <c r="L5" s="25"/>
      <c r="M5" s="25"/>
      <c r="N5" s="25"/>
    </row>
    <row r="6" spans="1:14" ht="15.95" customHeight="1" thickBot="1" x14ac:dyDescent="0.25"/>
    <row r="7" spans="1:14" ht="15.95" customHeight="1" x14ac:dyDescent="0.2">
      <c r="C7" s="26" t="s">
        <v>130</v>
      </c>
      <c r="D7" s="182"/>
      <c r="E7" s="183"/>
      <c r="F7" s="183"/>
      <c r="G7" s="183"/>
      <c r="H7" s="183"/>
      <c r="I7" s="183"/>
      <c r="J7" s="183"/>
      <c r="K7" s="184"/>
    </row>
    <row r="8" spans="1:14" ht="15.95" customHeight="1" x14ac:dyDescent="0.2">
      <c r="C8" s="27" t="str">
        <f>IF(A78=1,Geg!B171,Geg!I171)</f>
        <v xml:space="preserve">Aanvrager:  </v>
      </c>
      <c r="D8" s="176"/>
      <c r="E8" s="177"/>
      <c r="F8" s="177"/>
      <c r="G8" s="177"/>
      <c r="H8" s="177"/>
      <c r="I8" s="177"/>
      <c r="J8" s="177"/>
      <c r="K8" s="178"/>
    </row>
    <row r="9" spans="1:14" ht="15.95" customHeight="1" thickBot="1" x14ac:dyDescent="0.25">
      <c r="C9" s="28" t="str">
        <f>IF(A78=1,Geg!B172,Geg!I172)</f>
        <v xml:space="preserve">Onderdeel:  </v>
      </c>
      <c r="D9" s="179"/>
      <c r="E9" s="180"/>
      <c r="F9" s="180"/>
      <c r="G9" s="180"/>
      <c r="H9" s="180"/>
      <c r="I9" s="180"/>
      <c r="J9" s="180"/>
      <c r="K9" s="181"/>
    </row>
    <row r="10" spans="1:14" ht="15.95" customHeight="1" x14ac:dyDescent="0.2"/>
    <row r="11" spans="1:14" ht="15.95" customHeight="1" thickBot="1" x14ac:dyDescent="0.25">
      <c r="J11" s="40"/>
    </row>
    <row r="12" spans="1:14" ht="15.95" customHeight="1" x14ac:dyDescent="0.2">
      <c r="C12" s="34" t="str">
        <f>IF(A78=1,Geg!B175,Geg!I175)</f>
        <v>Uitgangspunten:</v>
      </c>
      <c r="D12" s="35"/>
      <c r="E12" s="35"/>
      <c r="F12" s="35"/>
      <c r="G12" s="35"/>
      <c r="H12" s="35"/>
      <c r="I12" s="35"/>
      <c r="J12" s="25"/>
      <c r="K12" s="36"/>
    </row>
    <row r="13" spans="1:14" ht="15.95" customHeight="1" x14ac:dyDescent="0.2">
      <c r="C13" s="37" t="str">
        <f>IF(A$78=1,Geg!B176,Geg!I176)</f>
        <v>Buitenspouwblad</v>
      </c>
      <c r="D13" s="25"/>
      <c r="E13" s="25"/>
      <c r="F13" s="25"/>
      <c r="H13" s="18" t="str">
        <f>IF(A78=1,Geg!F176,Geg!M176)</f>
        <v>Baksteen</v>
      </c>
      <c r="I13" s="19"/>
      <c r="J13" s="20"/>
      <c r="K13" s="38">
        <v>100</v>
      </c>
      <c r="L13" s="22">
        <f>Geg!D43</f>
        <v>90</v>
      </c>
      <c r="M13" s="22"/>
    </row>
    <row r="14" spans="1:14" ht="15.95" customHeight="1" x14ac:dyDescent="0.2">
      <c r="C14" s="37" t="str">
        <f>IF(A$78=1,Geg!B177,Geg!I177)</f>
        <v>Luchtspouw</v>
      </c>
      <c r="D14" s="25"/>
      <c r="E14" s="25"/>
      <c r="F14" s="25"/>
      <c r="G14" s="25"/>
      <c r="H14" s="18"/>
      <c r="I14" s="19"/>
      <c r="J14" s="20"/>
      <c r="K14" s="64"/>
    </row>
    <row r="15" spans="1:14" ht="15.95" customHeight="1" x14ac:dyDescent="0.2">
      <c r="C15" s="37" t="str">
        <f>IF(A$78=1,Geg!B178,Geg!I178)</f>
        <v>Isolatie</v>
      </c>
      <c r="D15" s="25"/>
      <c r="E15" s="25"/>
      <c r="F15" s="25"/>
      <c r="G15" s="25"/>
      <c r="H15" s="18" t="s">
        <v>62</v>
      </c>
      <c r="I15" s="19"/>
      <c r="J15" s="20"/>
      <c r="K15" s="38"/>
    </row>
    <row r="16" spans="1:14" ht="15.95" customHeight="1" x14ac:dyDescent="0.2">
      <c r="C16" s="37" t="str">
        <f>IF(A$78=1,Geg!B179,Geg!I179)</f>
        <v>Soort en aantal bevestigers</v>
      </c>
      <c r="D16" s="25"/>
      <c r="E16" s="25"/>
      <c r="F16" s="25"/>
      <c r="G16" s="25"/>
      <c r="H16" s="18"/>
      <c r="I16" s="19"/>
      <c r="J16" s="20"/>
      <c r="K16" s="38">
        <v>100</v>
      </c>
    </row>
    <row r="17" spans="3:13" ht="15.95" customHeight="1" x14ac:dyDescent="0.2">
      <c r="C17" s="37" t="str">
        <f>IF(A$78=1,Geg!B180,Geg!I180)</f>
        <v>Binnenspouwblad</v>
      </c>
      <c r="D17" s="25"/>
      <c r="E17" s="25"/>
      <c r="F17" s="25"/>
      <c r="G17" s="25"/>
      <c r="H17" s="18"/>
      <c r="I17" s="19"/>
      <c r="J17" s="20"/>
      <c r="K17" s="38">
        <v>100</v>
      </c>
      <c r="L17" s="63">
        <f>IF(D58=9,90,IF(D58=11,90,IF(D58=13,90,140)))</f>
        <v>140</v>
      </c>
      <c r="M17" s="63"/>
    </row>
    <row r="18" spans="3:13" ht="17.25" customHeight="1" thickBot="1" x14ac:dyDescent="0.25">
      <c r="C18" s="39" t="str">
        <f>IF(A$78=1,Geg!B181,Geg!I181)</f>
        <v>Pleisterlaag</v>
      </c>
      <c r="D18" s="40"/>
      <c r="E18" s="40"/>
      <c r="F18" s="40"/>
      <c r="G18" s="65"/>
      <c r="H18" s="41" t="str">
        <f>IF(A78=1,Geg!F181,Geg!M181)</f>
        <v>Gipspleister</v>
      </c>
      <c r="I18" s="42"/>
      <c r="J18" s="43"/>
      <c r="K18" s="70"/>
    </row>
    <row r="19" spans="3:13" ht="15.95" customHeight="1" x14ac:dyDescent="0.2"/>
    <row r="20" spans="3:13" ht="23.25" x14ac:dyDescent="0.4">
      <c r="H20" s="44" t="s">
        <v>109</v>
      </c>
      <c r="I20" s="45"/>
      <c r="J20" s="66">
        <f>K71</f>
        <v>0.15213930255547414</v>
      </c>
      <c r="K20" s="44" t="s">
        <v>15</v>
      </c>
    </row>
    <row r="21" spans="3:13" ht="23.25" x14ac:dyDescent="0.4">
      <c r="H21" s="44" t="s">
        <v>107</v>
      </c>
      <c r="I21" s="45"/>
      <c r="J21" s="66">
        <f>FLOOR(K57,0.05)</f>
        <v>6.3000000000000007</v>
      </c>
      <c r="K21" s="44" t="s">
        <v>1</v>
      </c>
    </row>
    <row r="22" spans="3:13" ht="23.25" x14ac:dyDescent="0.4">
      <c r="H22" s="44" t="s">
        <v>108</v>
      </c>
      <c r="I22" s="45"/>
      <c r="J22" s="66">
        <f>K72</f>
        <v>6.402923519452659</v>
      </c>
      <c r="K22" s="44" t="s">
        <v>1</v>
      </c>
    </row>
    <row r="23" spans="3:13" ht="16.5" customHeight="1" x14ac:dyDescent="0.3">
      <c r="G23" s="23"/>
      <c r="H23" s="23"/>
      <c r="I23" s="24"/>
      <c r="J23" s="23"/>
      <c r="K23" s="14"/>
    </row>
    <row r="24" spans="3:13" ht="15.95" customHeight="1" x14ac:dyDescent="0.3">
      <c r="C24" t="str">
        <f>IF(A78=1,Geg!B184,Geg!K184)</f>
        <v xml:space="preserve">Aan de uitkomsten van dit programma kunnen geen rechten bij IsoBouw Systems bv worden ontleend. Een </v>
      </c>
      <c r="G24" s="23"/>
      <c r="H24" s="23"/>
      <c r="I24" s="24"/>
      <c r="J24" s="23"/>
      <c r="K24" s="14"/>
    </row>
    <row r="25" spans="3:13" ht="15.95" customHeight="1" x14ac:dyDescent="0.3">
      <c r="C25" t="str">
        <f>IF(A78=1,Geg!B185,Geg!K185)</f>
        <v xml:space="preserve">herberekening conform dit programma is door IsoBouw Systems bv mogelijk. Dit programma is intellectueel </v>
      </c>
      <c r="G25" s="23"/>
      <c r="H25" s="23"/>
      <c r="I25" s="24"/>
      <c r="J25" s="23"/>
      <c r="K25" s="14"/>
    </row>
    <row r="26" spans="3:13" ht="15.95" customHeight="1" x14ac:dyDescent="0.3">
      <c r="C26" t="str">
        <f>IF(A78=1,Geg!B186,Geg!K186)</f>
        <v>eigendom van IsoBouw Systems bv en mag als zodanig niet worden aangepast op welke wijze dan ook. ©</v>
      </c>
      <c r="G26" s="23"/>
      <c r="H26" s="23"/>
      <c r="I26" s="24"/>
      <c r="J26" s="23"/>
      <c r="K26" s="14"/>
    </row>
    <row r="27" spans="3:13" ht="15.95" customHeight="1" x14ac:dyDescent="0.3">
      <c r="C27" t="str">
        <f>IF(A78=1,"",Geg!K187)</f>
        <v/>
      </c>
      <c r="G27" s="23"/>
      <c r="H27" s="23"/>
      <c r="K27" s="14"/>
    </row>
    <row r="28" spans="3:13" ht="15.95" customHeight="1" x14ac:dyDescent="0.3">
      <c r="G28" s="23"/>
      <c r="H28" s="23"/>
      <c r="K28" s="14"/>
    </row>
    <row r="29" spans="3:13" ht="15.95" customHeight="1" x14ac:dyDescent="0.3">
      <c r="G29" s="23"/>
      <c r="H29" s="23"/>
      <c r="K29" s="14"/>
    </row>
    <row r="30" spans="3:13" ht="15.95" customHeight="1" x14ac:dyDescent="0.3">
      <c r="G30" s="23"/>
      <c r="H30" s="23"/>
      <c r="K30" s="14"/>
    </row>
    <row r="31" spans="3:13" ht="15.95" customHeight="1" x14ac:dyDescent="0.3">
      <c r="G31" s="23"/>
      <c r="H31" s="23"/>
      <c r="K31" s="14"/>
    </row>
    <row r="32" spans="3:13" ht="15.95" customHeight="1" x14ac:dyDescent="0.3">
      <c r="G32" s="23"/>
      <c r="H32" s="23"/>
      <c r="K32" s="14"/>
    </row>
    <row r="33" spans="7:11" ht="15.95" customHeight="1" x14ac:dyDescent="0.3">
      <c r="G33" s="23"/>
      <c r="H33" s="23"/>
      <c r="K33" s="14"/>
    </row>
    <row r="34" spans="7:11" ht="15.95" customHeight="1" x14ac:dyDescent="0.3">
      <c r="G34" s="23"/>
      <c r="H34" s="23"/>
      <c r="K34" s="14"/>
    </row>
    <row r="35" spans="7:11" ht="15.95" customHeight="1" x14ac:dyDescent="0.3">
      <c r="G35" s="23"/>
      <c r="H35" s="23"/>
      <c r="K35" s="14"/>
    </row>
    <row r="36" spans="7:11" ht="15.95" customHeight="1" x14ac:dyDescent="0.3">
      <c r="G36" s="23"/>
      <c r="H36" s="23"/>
      <c r="K36" s="14"/>
    </row>
    <row r="37" spans="7:11" ht="15.95" customHeight="1" x14ac:dyDescent="0.3">
      <c r="G37" s="23"/>
      <c r="H37" s="23"/>
      <c r="K37" s="14"/>
    </row>
    <row r="38" spans="7:11" ht="15.95" customHeight="1" x14ac:dyDescent="0.3">
      <c r="G38" s="23"/>
      <c r="H38" s="23"/>
      <c r="K38" s="14"/>
    </row>
    <row r="39" spans="7:11" ht="15.95" customHeight="1" x14ac:dyDescent="0.3">
      <c r="G39" s="23"/>
      <c r="H39" s="23"/>
      <c r="K39" s="14"/>
    </row>
    <row r="40" spans="7:11" ht="15.95" customHeight="1" x14ac:dyDescent="0.3">
      <c r="G40" s="23"/>
      <c r="H40" s="23"/>
      <c r="K40" s="14"/>
    </row>
    <row r="41" spans="7:11" ht="15.95" customHeight="1" x14ac:dyDescent="0.3">
      <c r="G41" s="23"/>
      <c r="H41" s="23"/>
      <c r="K41" s="14"/>
    </row>
    <row r="42" spans="7:11" ht="15.95" customHeight="1" x14ac:dyDescent="0.3">
      <c r="G42" s="23"/>
      <c r="H42" s="23"/>
      <c r="K42" s="14"/>
    </row>
    <row r="43" spans="7:11" ht="15.95" customHeight="1" x14ac:dyDescent="0.3">
      <c r="G43" s="23"/>
      <c r="H43" s="23"/>
      <c r="K43" s="14"/>
    </row>
    <row r="44" spans="7:11" ht="15.95" customHeight="1" x14ac:dyDescent="0.3">
      <c r="G44" s="23"/>
      <c r="H44" s="23"/>
      <c r="K44" s="14"/>
    </row>
    <row r="45" spans="7:11" ht="15.95" customHeight="1" x14ac:dyDescent="0.3">
      <c r="G45" s="23"/>
      <c r="H45" s="23"/>
      <c r="K45" s="14"/>
    </row>
    <row r="46" spans="7:11" ht="15.95" customHeight="1" x14ac:dyDescent="0.3">
      <c r="G46" s="23"/>
      <c r="H46" s="23"/>
      <c r="K46" s="14"/>
    </row>
    <row r="47" spans="7:11" ht="15.95" customHeight="1" x14ac:dyDescent="0.3">
      <c r="G47" s="23"/>
      <c r="H47" s="23"/>
      <c r="K47" s="14"/>
    </row>
    <row r="48" spans="7:11" ht="15.95" customHeight="1" x14ac:dyDescent="0.3">
      <c r="G48" s="23"/>
      <c r="H48" s="23"/>
      <c r="K48" s="14"/>
    </row>
    <row r="49" spans="1:11" ht="15.95" customHeight="1" x14ac:dyDescent="0.3">
      <c r="G49" s="23"/>
      <c r="H49" s="23"/>
      <c r="K49" s="14"/>
    </row>
    <row r="50" spans="1:11" ht="15.95" customHeight="1" x14ac:dyDescent="0.3">
      <c r="G50" s="23"/>
      <c r="H50" s="23"/>
      <c r="K50" s="14"/>
    </row>
    <row r="51" spans="1:11" ht="14.1" customHeight="1" x14ac:dyDescent="0.3">
      <c r="G51" s="23"/>
      <c r="H51" s="23"/>
      <c r="I51" s="24"/>
      <c r="J51" s="23"/>
      <c r="K51" s="14"/>
    </row>
    <row r="52" spans="1:11" ht="14.1" customHeight="1" x14ac:dyDescent="0.2">
      <c r="A52" s="9"/>
      <c r="B52" s="9"/>
      <c r="C52" s="9"/>
      <c r="D52" s="53" t="s">
        <v>69</v>
      </c>
      <c r="E52" s="53"/>
      <c r="F52" s="53" t="s">
        <v>52</v>
      </c>
      <c r="G52" s="54" t="s">
        <v>53</v>
      </c>
      <c r="H52" s="53" t="s">
        <v>70</v>
      </c>
      <c r="I52" s="53" t="s">
        <v>65</v>
      </c>
      <c r="J52" s="53"/>
      <c r="K52" s="53" t="s">
        <v>71</v>
      </c>
    </row>
    <row r="53" spans="1:11" ht="14.1" customHeight="1" x14ac:dyDescent="0.2">
      <c r="A53" s="9"/>
      <c r="B53" s="9"/>
      <c r="C53" s="9"/>
      <c r="D53" s="53"/>
      <c r="E53" s="53"/>
      <c r="F53" s="53" t="s">
        <v>83</v>
      </c>
      <c r="G53" s="53" t="s">
        <v>55</v>
      </c>
      <c r="H53" s="53"/>
      <c r="I53" s="53" t="s">
        <v>66</v>
      </c>
      <c r="J53" s="53"/>
      <c r="K53" s="53" t="s">
        <v>1</v>
      </c>
    </row>
    <row r="54" spans="1:11" ht="14.1" customHeight="1" x14ac:dyDescent="0.3">
      <c r="A54" s="9" t="s">
        <v>5</v>
      </c>
      <c r="B54" s="9"/>
      <c r="C54" s="9"/>
      <c r="D54" s="53"/>
      <c r="E54" s="53"/>
      <c r="F54" s="53"/>
      <c r="G54" s="53"/>
      <c r="H54" s="53"/>
      <c r="I54" s="53"/>
      <c r="J54" s="53"/>
      <c r="K54" s="55">
        <f>Geg!F36</f>
        <v>0.04</v>
      </c>
    </row>
    <row r="55" spans="1:11" ht="14.1" customHeight="1" x14ac:dyDescent="0.2">
      <c r="A55" s="9" t="s">
        <v>78</v>
      </c>
      <c r="B55" s="9"/>
      <c r="C55" s="9"/>
      <c r="D55" s="53"/>
      <c r="E55" s="53">
        <v>1</v>
      </c>
      <c r="F55" s="53">
        <f>L13/1000</f>
        <v>0.09</v>
      </c>
      <c r="G55" s="53">
        <f>VLOOKUP(E55,Geg!A43:F43,6)</f>
        <v>1.31</v>
      </c>
      <c r="H55" s="53"/>
      <c r="I55" s="53"/>
      <c r="J55" s="53"/>
      <c r="K55" s="56">
        <f>F55/G55</f>
        <v>6.8702290076335867E-2</v>
      </c>
    </row>
    <row r="56" spans="1:11" s="14" customFormat="1" ht="14.1" customHeight="1" x14ac:dyDescent="0.2">
      <c r="A56" s="9" t="s">
        <v>79</v>
      </c>
      <c r="B56" s="9"/>
      <c r="C56" s="9"/>
      <c r="D56" s="71">
        <v>3</v>
      </c>
      <c r="E56" s="53"/>
      <c r="F56" s="53"/>
      <c r="G56" s="53"/>
      <c r="H56" s="53"/>
      <c r="I56" s="53" t="s">
        <v>190</v>
      </c>
      <c r="J56" s="53"/>
      <c r="K56" s="57">
        <f>VLOOKUP(D56,Geg!A47:F49,6)</f>
        <v>0.09</v>
      </c>
    </row>
    <row r="57" spans="1:11" ht="14.1" customHeight="1" x14ac:dyDescent="0.2">
      <c r="A57" s="9" t="s">
        <v>80</v>
      </c>
      <c r="B57" s="9"/>
      <c r="C57" s="9"/>
      <c r="D57" s="71">
        <v>1</v>
      </c>
      <c r="E57" s="71">
        <v>5</v>
      </c>
      <c r="F57" s="53">
        <f>VLOOKUP(E57,Geg!A86:D95,4)/1000</f>
        <v>0.19600000000000001</v>
      </c>
      <c r="G57" s="53">
        <v>3.1E-2</v>
      </c>
      <c r="H57" s="53"/>
      <c r="I57" s="53"/>
      <c r="J57" s="53"/>
      <c r="K57" s="56">
        <f>F57/G57</f>
        <v>6.3225806451612909</v>
      </c>
    </row>
    <row r="58" spans="1:11" ht="14.1" customHeight="1" x14ac:dyDescent="0.2">
      <c r="A58" s="9" t="s">
        <v>81</v>
      </c>
      <c r="B58" s="9"/>
      <c r="C58" s="9"/>
      <c r="D58" s="71">
        <v>7</v>
      </c>
      <c r="E58" s="53"/>
      <c r="F58" s="53">
        <f>VLOOKUP(D58,Geg!A53:D67,4)/1000</f>
        <v>0.14000000000000001</v>
      </c>
      <c r="G58" s="53">
        <f>VLOOKUP(D58,Geg!A53:E67,5)</f>
        <v>0.7</v>
      </c>
      <c r="H58" s="53"/>
      <c r="I58" s="53"/>
      <c r="J58" s="53"/>
      <c r="K58" s="56">
        <f>F58/G58</f>
        <v>0.20000000000000004</v>
      </c>
    </row>
    <row r="59" spans="1:11" ht="14.1" customHeight="1" x14ac:dyDescent="0.2">
      <c r="A59" s="9" t="s">
        <v>82</v>
      </c>
      <c r="B59" s="9"/>
      <c r="C59" s="9"/>
      <c r="D59" s="53"/>
      <c r="E59" s="71">
        <v>2</v>
      </c>
      <c r="F59" s="59">
        <f>VLOOKUP(E59,Geg!A71:D73,4)/1000</f>
        <v>0.01</v>
      </c>
      <c r="G59" s="53">
        <f>VLOOKUP(E59,Geg!A71:F73,6)</f>
        <v>0.52</v>
      </c>
      <c r="H59" s="53"/>
      <c r="I59" s="53"/>
      <c r="J59" s="53"/>
      <c r="K59" s="56">
        <f>F59/G59</f>
        <v>1.9230769230769232E-2</v>
      </c>
    </row>
    <row r="60" spans="1:11" ht="14.1" customHeight="1" x14ac:dyDescent="0.3">
      <c r="A60" s="9" t="s">
        <v>3</v>
      </c>
      <c r="B60" s="9"/>
      <c r="C60" s="9"/>
      <c r="D60" s="53"/>
      <c r="E60" s="53"/>
      <c r="F60" s="53"/>
      <c r="G60" s="53"/>
      <c r="H60" s="53"/>
      <c r="I60" s="53"/>
      <c r="J60" s="53"/>
      <c r="K60" s="57">
        <f>Geg!F37</f>
        <v>0.13</v>
      </c>
    </row>
    <row r="61" spans="1:11" ht="14.1" customHeight="1" x14ac:dyDescent="0.3">
      <c r="A61" s="9" t="s">
        <v>19</v>
      </c>
      <c r="B61" s="9"/>
      <c r="C61" s="9"/>
      <c r="D61" s="53"/>
      <c r="E61" s="53"/>
      <c r="F61" s="53"/>
      <c r="G61" s="53"/>
      <c r="H61" s="53"/>
      <c r="I61" s="53"/>
      <c r="J61" s="53"/>
      <c r="K61" s="61">
        <f>Geg!E26</f>
        <v>-0.1</v>
      </c>
    </row>
    <row r="62" spans="1:11" ht="14.1" customHeight="1" x14ac:dyDescent="0.3">
      <c r="A62" s="9" t="s">
        <v>2</v>
      </c>
      <c r="B62" s="9"/>
      <c r="C62" s="9" t="s">
        <v>11</v>
      </c>
      <c r="D62" s="53"/>
      <c r="E62" s="53"/>
      <c r="F62" s="53"/>
      <c r="G62" s="53"/>
      <c r="H62" s="53"/>
      <c r="I62" s="53"/>
      <c r="J62" s="53"/>
      <c r="K62" s="59">
        <f>SUM(K54:K61)</f>
        <v>6.7705137044683967</v>
      </c>
    </row>
    <row r="63" spans="1:11" ht="14.1" customHeight="1" x14ac:dyDescent="0.3">
      <c r="A63" s="9" t="s">
        <v>21</v>
      </c>
      <c r="B63" s="9"/>
      <c r="C63" s="9" t="s">
        <v>143</v>
      </c>
      <c r="D63" s="53"/>
      <c r="E63" s="53"/>
      <c r="F63" s="53"/>
      <c r="G63" s="53"/>
      <c r="H63" s="53"/>
      <c r="I63" s="53"/>
      <c r="J63" s="53"/>
      <c r="K63" s="53">
        <f>1/K62</f>
        <v>0.14769928009155658</v>
      </c>
    </row>
    <row r="64" spans="1:11" ht="14.1" customHeight="1" x14ac:dyDescent="0.2">
      <c r="A64" s="10" t="s">
        <v>68</v>
      </c>
      <c r="B64" s="9"/>
      <c r="C64" s="9"/>
      <c r="D64" s="53"/>
      <c r="E64" s="53"/>
      <c r="F64" s="53"/>
      <c r="G64" s="53"/>
      <c r="H64" s="53"/>
      <c r="I64" s="53"/>
      <c r="J64" s="53">
        <f>Geg!E38</f>
        <v>0.8</v>
      </c>
      <c r="K64" s="53"/>
    </row>
    <row r="65" spans="1:17" ht="14.1" customHeight="1" x14ac:dyDescent="0.3">
      <c r="A65" s="10" t="s">
        <v>35</v>
      </c>
      <c r="B65" s="9"/>
      <c r="C65" s="9"/>
      <c r="D65" s="71">
        <v>1</v>
      </c>
      <c r="E65" s="53"/>
      <c r="F65" s="53"/>
      <c r="G65" s="53">
        <f>VLOOKUP(D65,Geg!A121:E125,5)</f>
        <v>15</v>
      </c>
      <c r="H65" s="53"/>
      <c r="I65" s="53"/>
      <c r="J65" s="53"/>
      <c r="K65" s="53"/>
    </row>
    <row r="66" spans="1:17" ht="14.1" customHeight="1" x14ac:dyDescent="0.3">
      <c r="A66" s="9" t="s">
        <v>36</v>
      </c>
      <c r="B66" s="9"/>
      <c r="C66" s="9"/>
      <c r="D66" s="71">
        <v>6</v>
      </c>
      <c r="E66" s="53"/>
      <c r="F66" s="53"/>
      <c r="G66" s="53" t="s">
        <v>97</v>
      </c>
      <c r="H66" s="53"/>
      <c r="I66" s="53">
        <f>VLOOKUP(D65,Geg!A121:F125,6)</f>
        <v>1.3859999999999999E-5</v>
      </c>
      <c r="J66" s="53"/>
      <c r="K66" s="53"/>
    </row>
    <row r="67" spans="1:17" ht="14.1" customHeight="1" x14ac:dyDescent="0.3">
      <c r="A67" s="9" t="s">
        <v>37</v>
      </c>
      <c r="B67" s="9"/>
      <c r="C67" s="9"/>
      <c r="D67" s="72"/>
      <c r="E67" s="53"/>
      <c r="F67" s="53"/>
      <c r="G67" s="53"/>
      <c r="H67" s="53">
        <f>VLOOKUP(D66,Geg!A128:B134,2)</f>
        <v>6</v>
      </c>
      <c r="I67" s="53"/>
      <c r="J67" s="53"/>
      <c r="K67" s="53"/>
    </row>
    <row r="68" spans="1:17" ht="14.1" customHeight="1" x14ac:dyDescent="0.3">
      <c r="A68" s="9" t="s">
        <v>38</v>
      </c>
      <c r="B68" s="9"/>
      <c r="C68" s="9"/>
      <c r="D68" s="53"/>
      <c r="E68" s="53"/>
      <c r="F68" s="53">
        <f>F57</f>
        <v>0.19600000000000001</v>
      </c>
      <c r="G68" s="53"/>
      <c r="H68" s="53"/>
      <c r="I68" s="53"/>
      <c r="J68" s="53"/>
      <c r="K68" s="53"/>
    </row>
    <row r="69" spans="1:17" ht="14.1" customHeight="1" x14ac:dyDescent="0.3">
      <c r="A69" s="10" t="s">
        <v>22</v>
      </c>
      <c r="B69" s="9"/>
      <c r="C69" s="9"/>
      <c r="D69" s="53"/>
      <c r="E69" s="53"/>
      <c r="F69" s="53"/>
      <c r="G69" s="53"/>
      <c r="H69" s="53"/>
      <c r="I69" s="53"/>
      <c r="J69" s="53">
        <v>0</v>
      </c>
      <c r="K69" s="53"/>
    </row>
    <row r="70" spans="1:17" ht="14.1" customHeight="1" x14ac:dyDescent="0.3">
      <c r="A70" s="10" t="s">
        <v>23</v>
      </c>
      <c r="B70" s="10" t="s">
        <v>33</v>
      </c>
      <c r="C70" s="9"/>
      <c r="D70" s="53"/>
      <c r="E70" s="53"/>
      <c r="F70" s="53"/>
      <c r="G70" s="53"/>
      <c r="H70" s="53"/>
      <c r="I70" s="53"/>
      <c r="J70" s="53"/>
      <c r="K70" s="53">
        <f>J64*((G65*I66*H67)/F68)*(K57/K62)*(K57/K62)</f>
        <v>4.4400224639175494E-3</v>
      </c>
    </row>
    <row r="71" spans="1:17" ht="14.1" customHeight="1" x14ac:dyDescent="0.3">
      <c r="A71" s="9" t="s">
        <v>20</v>
      </c>
      <c r="B71" s="9"/>
      <c r="C71" s="9" t="s">
        <v>142</v>
      </c>
      <c r="D71" s="53"/>
      <c r="E71" s="53"/>
      <c r="F71" s="53"/>
      <c r="G71" s="53"/>
      <c r="H71" s="53"/>
      <c r="I71" s="53"/>
      <c r="J71" s="53"/>
      <c r="K71" s="53">
        <f>K63+K69+K70</f>
        <v>0.15213930255547414</v>
      </c>
    </row>
    <row r="72" spans="1:17" ht="14.1" customHeight="1" x14ac:dyDescent="0.3">
      <c r="A72" s="9" t="s">
        <v>84</v>
      </c>
      <c r="B72" s="9"/>
      <c r="C72" s="9"/>
      <c r="D72" s="53"/>
      <c r="E72" s="53"/>
      <c r="F72" s="53"/>
      <c r="G72" s="53"/>
      <c r="H72" s="53"/>
      <c r="I72" s="53"/>
      <c r="J72" s="53"/>
      <c r="K72" s="60">
        <f>(1/K71)-(K54+K60)</f>
        <v>6.402923519452659</v>
      </c>
    </row>
    <row r="73" spans="1:17" ht="14.1" customHeight="1" x14ac:dyDescent="0.2"/>
    <row r="74" spans="1:17" ht="14.1" customHeight="1" x14ac:dyDescent="0.2"/>
    <row r="75" spans="1:17" ht="14.1" customHeight="1" x14ac:dyDescent="0.2"/>
    <row r="76" spans="1:17" ht="14.1" customHeight="1" x14ac:dyDescent="0.2"/>
    <row r="77" spans="1:17" ht="14.1" customHeight="1" x14ac:dyDescent="0.2"/>
    <row r="78" spans="1:17" ht="14.1" customHeight="1" x14ac:dyDescent="0.2">
      <c r="A78" s="76">
        <v>1</v>
      </c>
    </row>
    <row r="79" spans="1:17" ht="14.1" customHeight="1" x14ac:dyDescent="0.3">
      <c r="D79" s="17"/>
      <c r="E79" s="17"/>
      <c r="F79" s="17"/>
      <c r="G79" s="17"/>
      <c r="H79" s="17"/>
      <c r="I79" s="17"/>
      <c r="J79" s="17"/>
      <c r="K79" s="14"/>
      <c r="L79" s="14"/>
      <c r="M79" s="14"/>
      <c r="N79" s="14"/>
      <c r="O79" s="14"/>
      <c r="P79" s="14"/>
      <c r="Q79" s="14"/>
    </row>
    <row r="80" spans="1:17" ht="14.1" customHeight="1" x14ac:dyDescent="0.3">
      <c r="D80" s="17"/>
      <c r="E80" s="17"/>
      <c r="F80" s="17"/>
      <c r="G80" s="17"/>
      <c r="H80" s="17"/>
      <c r="I80" s="17"/>
      <c r="J80" s="17"/>
      <c r="K80" s="14"/>
      <c r="L80" s="14"/>
      <c r="M80" s="14"/>
      <c r="N80" s="14"/>
      <c r="O80" s="14"/>
      <c r="P80" s="14"/>
      <c r="Q80" s="14"/>
    </row>
    <row r="81" spans="3:17" ht="20.25" x14ac:dyDescent="0.3">
      <c r="C81" s="17"/>
      <c r="D81" s="17"/>
      <c r="E81" s="17"/>
      <c r="F81" s="17"/>
      <c r="G81" s="17"/>
      <c r="H81" s="17"/>
      <c r="I81" s="17"/>
      <c r="J81" s="17"/>
      <c r="K81" s="14"/>
      <c r="L81" s="14"/>
      <c r="M81" s="14"/>
      <c r="N81" s="14"/>
      <c r="O81" s="14"/>
      <c r="P81" s="14"/>
      <c r="Q81" s="14"/>
    </row>
    <row r="82" spans="3:17" x14ac:dyDescent="0.2">
      <c r="O82" s="14"/>
      <c r="P82" s="14"/>
      <c r="Q82" s="14"/>
    </row>
  </sheetData>
  <sheetProtection algorithmName="SHA-512" hashValue="6aUyIpu5Yu7XHctFfjnZsgKcXg1ApDiAVXW/tgKFAHKuPkpcmtRXCaZWTrH1YDWHF6fnZYrkcxcL0+QMrIUS1g==" saltValue="f33BwQhtp1M1G32Jo5bprA==" spinCount="100000" sheet="1" objects="1" scenarios="1"/>
  <mergeCells count="3">
    <mergeCell ref="D8:K8"/>
    <mergeCell ref="D9:K9"/>
    <mergeCell ref="D7:K7"/>
  </mergeCells>
  <phoneticPr fontId="0" type="noConversion"/>
  <pageMargins left="0.37" right="0.63" top="1" bottom="1" header="0.5" footer="0.5"/>
  <pageSetup paperSize="9" orientation="portrait" r:id="rId1"/>
  <headerFooter alignWithMargins="0">
    <oddFooter>&amp;LIsoBouw PolyFort&amp;X+&amp;R&amp;D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56" r:id="rId4">
          <objectPr defaultSize="0" autoPict="0" r:id="rId5">
            <anchor moveWithCells="1">
              <from>
                <xdr:col>9</xdr:col>
                <xdr:colOff>561975</xdr:colOff>
                <xdr:row>0</xdr:row>
                <xdr:rowOff>0</xdr:rowOff>
              </from>
              <to>
                <xdr:col>10</xdr:col>
                <xdr:colOff>647700</xdr:colOff>
                <xdr:row>1</xdr:row>
                <xdr:rowOff>209550</xdr:rowOff>
              </to>
            </anchor>
          </objectPr>
        </oleObject>
      </mc:Choice>
      <mc:Fallback>
        <oleObject progId="Word.Document.8" shapeId="105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Drop Down 6">
              <controlPr locked="0" defaultSize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Drop Down 9">
              <controlPr defaultSize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10</xdr:col>
                    <xdr:colOff>647700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Drop Down 10">
              <controlPr defaultSize="0" autoLine="0" autoPict="0">
                <anchor moveWithCells="1">
                  <from>
                    <xdr:col>10</xdr:col>
                    <xdr:colOff>0</xdr:colOff>
                    <xdr:row>15</xdr:row>
                    <xdr:rowOff>0</xdr:rowOff>
                  </from>
                  <to>
                    <xdr:col>10</xdr:col>
                    <xdr:colOff>647700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Drop Down 12">
              <controlPr defaultSize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10</xdr:col>
                    <xdr:colOff>647700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Drop Down 18">
              <controlPr defaultSize="0" print="0" autoLine="0" autoPict="0">
                <anchor moveWithCells="1">
                  <from>
                    <xdr:col>6</xdr:col>
                    <xdr:colOff>152400</xdr:colOff>
                    <xdr:row>0</xdr:row>
                    <xdr:rowOff>171450</xdr:rowOff>
                  </from>
                  <to>
                    <xdr:col>8</xdr:col>
                    <xdr:colOff>66675</xdr:colOff>
                    <xdr:row>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187"/>
  <sheetViews>
    <sheetView windowProtection="1" showRowColHeaders="0" topLeftCell="A60" workbookViewId="0">
      <selection activeCell="D95" sqref="D95"/>
    </sheetView>
  </sheetViews>
  <sheetFormatPr defaultRowHeight="12.75" x14ac:dyDescent="0.2"/>
  <cols>
    <col min="1" max="1" width="8.7109375" customWidth="1"/>
    <col min="2" max="2" width="13" customWidth="1"/>
    <col min="3" max="3" width="19.7109375" customWidth="1"/>
    <col min="6" max="6" width="14.7109375" bestFit="1" customWidth="1"/>
    <col min="7" max="7" width="12.42578125" customWidth="1"/>
  </cols>
  <sheetData>
    <row r="1" spans="1:6" x14ac:dyDescent="0.2">
      <c r="A1" t="s">
        <v>51</v>
      </c>
    </row>
    <row r="3" spans="1:6" ht="15.75" x14ac:dyDescent="0.3">
      <c r="A3" t="s">
        <v>0</v>
      </c>
    </row>
    <row r="4" spans="1:6" x14ac:dyDescent="0.2">
      <c r="A4" s="174" t="s">
        <v>253</v>
      </c>
    </row>
    <row r="5" spans="1:6" x14ac:dyDescent="0.2">
      <c r="A5" s="174" t="s">
        <v>252</v>
      </c>
    </row>
    <row r="7" spans="1:6" ht="15.75" x14ac:dyDescent="0.3">
      <c r="A7" t="s">
        <v>11</v>
      </c>
      <c r="F7" t="s">
        <v>1</v>
      </c>
    </row>
    <row r="8" spans="1:6" x14ac:dyDescent="0.2">
      <c r="A8" t="s">
        <v>14</v>
      </c>
      <c r="F8" t="s">
        <v>15</v>
      </c>
    </row>
    <row r="9" spans="1:6" ht="15.75" x14ac:dyDescent="0.3">
      <c r="A9" t="s">
        <v>17</v>
      </c>
      <c r="F9" t="s">
        <v>15</v>
      </c>
    </row>
    <row r="10" spans="1:6" ht="15.75" x14ac:dyDescent="0.3">
      <c r="A10" t="s">
        <v>2</v>
      </c>
      <c r="B10" t="s">
        <v>6</v>
      </c>
    </row>
    <row r="11" spans="1:6" ht="15.75" x14ac:dyDescent="0.3">
      <c r="A11" t="s">
        <v>3</v>
      </c>
      <c r="B11" t="s">
        <v>7</v>
      </c>
    </row>
    <row r="12" spans="1:6" ht="15.75" x14ac:dyDescent="0.3">
      <c r="A12" s="1" t="s">
        <v>9</v>
      </c>
      <c r="B12" t="s">
        <v>8</v>
      </c>
    </row>
    <row r="13" spans="1:6" ht="15.75" x14ac:dyDescent="0.3">
      <c r="A13" t="s">
        <v>4</v>
      </c>
      <c r="C13" t="s">
        <v>10</v>
      </c>
    </row>
    <row r="14" spans="1:6" ht="15.75" x14ac:dyDescent="0.3">
      <c r="A14" t="s">
        <v>5</v>
      </c>
      <c r="B14" t="s">
        <v>12</v>
      </c>
    </row>
    <row r="15" spans="1:6" ht="15.75" x14ac:dyDescent="0.3">
      <c r="A15" t="s">
        <v>19</v>
      </c>
      <c r="B15" t="s">
        <v>13</v>
      </c>
    </row>
    <row r="16" spans="1:6" x14ac:dyDescent="0.2">
      <c r="A16" t="s">
        <v>21</v>
      </c>
      <c r="B16" t="s">
        <v>18</v>
      </c>
    </row>
    <row r="17" spans="1:13" ht="15.75" x14ac:dyDescent="0.3">
      <c r="A17" t="s">
        <v>20</v>
      </c>
      <c r="B17" t="s">
        <v>31</v>
      </c>
    </row>
    <row r="18" spans="1:13" ht="15.75" x14ac:dyDescent="0.3">
      <c r="A18" s="1" t="s">
        <v>22</v>
      </c>
      <c r="B18" t="s">
        <v>24</v>
      </c>
    </row>
    <row r="19" spans="1:13" ht="15.75" x14ac:dyDescent="0.3">
      <c r="A19" s="1" t="s">
        <v>23</v>
      </c>
      <c r="B19" t="s">
        <v>25</v>
      </c>
    </row>
    <row r="20" spans="1:13" x14ac:dyDescent="0.2">
      <c r="G20" t="s">
        <v>26</v>
      </c>
    </row>
    <row r="21" spans="1:13" ht="15.75" x14ac:dyDescent="0.3">
      <c r="A21" t="s">
        <v>3</v>
      </c>
      <c r="E21">
        <v>0.13</v>
      </c>
      <c r="F21" t="s">
        <v>1</v>
      </c>
      <c r="G21" t="s">
        <v>32</v>
      </c>
    </row>
    <row r="22" spans="1:13" ht="15.75" x14ac:dyDescent="0.3">
      <c r="A22" t="s">
        <v>29</v>
      </c>
      <c r="D22" t="s">
        <v>44</v>
      </c>
      <c r="E22">
        <v>0.18</v>
      </c>
      <c r="F22" t="s">
        <v>1</v>
      </c>
      <c r="G22" t="s">
        <v>28</v>
      </c>
    </row>
    <row r="23" spans="1:13" ht="15.75" x14ac:dyDescent="0.3">
      <c r="A23" t="s">
        <v>27</v>
      </c>
      <c r="D23" t="s">
        <v>44</v>
      </c>
      <c r="E23">
        <v>0.09</v>
      </c>
      <c r="F23" t="s">
        <v>1</v>
      </c>
      <c r="G23" t="s">
        <v>28</v>
      </c>
    </row>
    <row r="24" spans="1:13" ht="15.75" x14ac:dyDescent="0.3">
      <c r="A24" t="s">
        <v>4</v>
      </c>
      <c r="B24" t="s">
        <v>30</v>
      </c>
      <c r="G24" t="s">
        <v>28</v>
      </c>
    </row>
    <row r="25" spans="1:13" ht="15.75" x14ac:dyDescent="0.3">
      <c r="A25" t="s">
        <v>5</v>
      </c>
      <c r="E25">
        <v>0.04</v>
      </c>
      <c r="F25" t="s">
        <v>1</v>
      </c>
      <c r="G25" t="s">
        <v>32</v>
      </c>
    </row>
    <row r="26" spans="1:13" ht="15.75" x14ac:dyDescent="0.3">
      <c r="A26" t="s">
        <v>19</v>
      </c>
      <c r="E26" s="2">
        <v>-0.1</v>
      </c>
      <c r="F26" t="s">
        <v>1</v>
      </c>
      <c r="G26" t="s">
        <v>28</v>
      </c>
    </row>
    <row r="27" spans="1:13" ht="15.75" x14ac:dyDescent="0.3">
      <c r="A27" s="1" t="s">
        <v>22</v>
      </c>
      <c r="G27" t="s">
        <v>95</v>
      </c>
    </row>
    <row r="28" spans="1:13" ht="15.75" x14ac:dyDescent="0.3">
      <c r="A28" s="1" t="s">
        <v>23</v>
      </c>
      <c r="B28" s="1" t="s">
        <v>33</v>
      </c>
      <c r="F28" t="s">
        <v>15</v>
      </c>
      <c r="G28" t="s">
        <v>32</v>
      </c>
    </row>
    <row r="29" spans="1:13" x14ac:dyDescent="0.2">
      <c r="B29" s="1" t="s">
        <v>34</v>
      </c>
      <c r="C29" t="s">
        <v>39</v>
      </c>
      <c r="E29">
        <v>0.8</v>
      </c>
      <c r="M29" t="s">
        <v>97</v>
      </c>
    </row>
    <row r="30" spans="1:13" ht="15.75" x14ac:dyDescent="0.3">
      <c r="B30" s="1" t="s">
        <v>35</v>
      </c>
      <c r="C30" s="1" t="s">
        <v>41</v>
      </c>
    </row>
    <row r="31" spans="1:13" ht="15.75" x14ac:dyDescent="0.3">
      <c r="B31" t="s">
        <v>36</v>
      </c>
      <c r="C31" t="s">
        <v>42</v>
      </c>
    </row>
    <row r="32" spans="1:13" ht="15.75" x14ac:dyDescent="0.3">
      <c r="B32" t="s">
        <v>37</v>
      </c>
      <c r="C32" t="s">
        <v>40</v>
      </c>
    </row>
    <row r="33" spans="1:14" ht="15.75" x14ac:dyDescent="0.3">
      <c r="B33" t="s">
        <v>38</v>
      </c>
      <c r="C33" t="s">
        <v>43</v>
      </c>
    </row>
    <row r="35" spans="1:14" x14ac:dyDescent="0.2">
      <c r="A35" t="s">
        <v>74</v>
      </c>
      <c r="F35" t="s">
        <v>1</v>
      </c>
    </row>
    <row r="36" spans="1:14" ht="15.75" x14ac:dyDescent="0.3">
      <c r="B36" t="s">
        <v>77</v>
      </c>
      <c r="F36">
        <v>0.04</v>
      </c>
      <c r="G36" t="s">
        <v>100</v>
      </c>
    </row>
    <row r="37" spans="1:14" ht="15.75" x14ac:dyDescent="0.3">
      <c r="B37" t="s">
        <v>76</v>
      </c>
      <c r="F37">
        <v>0.13</v>
      </c>
      <c r="G37" t="s">
        <v>100</v>
      </c>
    </row>
    <row r="38" spans="1:14" x14ac:dyDescent="0.2">
      <c r="B38" s="1" t="s">
        <v>75</v>
      </c>
      <c r="E38">
        <v>0.8</v>
      </c>
      <c r="G38" t="s">
        <v>99</v>
      </c>
    </row>
    <row r="39" spans="1:14" ht="15.75" x14ac:dyDescent="0.3">
      <c r="B39" s="1" t="s">
        <v>96</v>
      </c>
      <c r="E39">
        <v>0</v>
      </c>
      <c r="G39" t="s">
        <v>100</v>
      </c>
    </row>
    <row r="41" spans="1:14" ht="15.75" x14ac:dyDescent="0.3">
      <c r="A41" t="s">
        <v>46</v>
      </c>
      <c r="D41" s="3" t="s">
        <v>52</v>
      </c>
      <c r="F41" s="4" t="s">
        <v>53</v>
      </c>
      <c r="G41" s="3" t="s">
        <v>58</v>
      </c>
    </row>
    <row r="42" spans="1:14" x14ac:dyDescent="0.2">
      <c r="D42" s="3" t="s">
        <v>54</v>
      </c>
      <c r="F42" s="3" t="s">
        <v>55</v>
      </c>
      <c r="G42" s="3" t="s">
        <v>1</v>
      </c>
    </row>
    <row r="43" spans="1:14" x14ac:dyDescent="0.2">
      <c r="A43">
        <v>1</v>
      </c>
      <c r="B43" t="s">
        <v>116</v>
      </c>
      <c r="D43" s="3">
        <v>90</v>
      </c>
      <c r="E43" t="s">
        <v>129</v>
      </c>
      <c r="F43" s="3">
        <v>1.31</v>
      </c>
      <c r="G43" s="5">
        <f>(D43/1000)/F43</f>
        <v>6.8702290076335867E-2</v>
      </c>
      <c r="H43" t="s">
        <v>99</v>
      </c>
    </row>
    <row r="45" spans="1:14" ht="15.75" x14ac:dyDescent="0.3">
      <c r="A45" t="s">
        <v>47</v>
      </c>
      <c r="F45" s="3" t="s">
        <v>58</v>
      </c>
    </row>
    <row r="46" spans="1:14" x14ac:dyDescent="0.2">
      <c r="F46" s="3" t="s">
        <v>1</v>
      </c>
      <c r="J46" t="s">
        <v>140</v>
      </c>
      <c r="N46" t="s">
        <v>141</v>
      </c>
    </row>
    <row r="47" spans="1:14" x14ac:dyDescent="0.2">
      <c r="A47">
        <v>1</v>
      </c>
      <c r="B47" t="str">
        <f>IF(Ber!A$78=1,Geg!J47,Geg!N47)</f>
        <v>Luchtspouw &lt; 30 mm</v>
      </c>
      <c r="F47" s="3">
        <v>0</v>
      </c>
      <c r="G47" t="s">
        <v>99</v>
      </c>
      <c r="J47" t="s">
        <v>73</v>
      </c>
      <c r="N47" t="s">
        <v>183</v>
      </c>
    </row>
    <row r="48" spans="1:14" x14ac:dyDescent="0.2">
      <c r="A48">
        <v>2</v>
      </c>
      <c r="B48" t="str">
        <f>IF(Ber!A$78=1,Geg!J48,Geg!N48)</f>
        <v>Luchtspouw, niet geventileerd, 30 mm</v>
      </c>
      <c r="F48" s="3">
        <v>0.18</v>
      </c>
      <c r="G48" t="s">
        <v>99</v>
      </c>
      <c r="J48" t="s">
        <v>56</v>
      </c>
      <c r="N48" t="s">
        <v>184</v>
      </c>
    </row>
    <row r="49" spans="1:14" x14ac:dyDescent="0.2">
      <c r="A49">
        <v>3</v>
      </c>
      <c r="B49" t="str">
        <f>IF(Ber!A$78=1,Geg!J49,Geg!N49)</f>
        <v>Luchtspouw, zwak geventileerd, 30 mm</v>
      </c>
      <c r="F49" s="3">
        <v>0.09</v>
      </c>
      <c r="G49" t="s">
        <v>99</v>
      </c>
      <c r="J49" t="s">
        <v>57</v>
      </c>
      <c r="N49" t="s">
        <v>185</v>
      </c>
    </row>
    <row r="51" spans="1:14" ht="15.75" x14ac:dyDescent="0.3">
      <c r="A51" t="s">
        <v>59</v>
      </c>
      <c r="D51" s="3" t="s">
        <v>52</v>
      </c>
      <c r="E51" s="4" t="s">
        <v>53</v>
      </c>
      <c r="F51" s="3" t="s">
        <v>58</v>
      </c>
    </row>
    <row r="52" spans="1:14" x14ac:dyDescent="0.2">
      <c r="D52" s="3" t="s">
        <v>54</v>
      </c>
      <c r="E52" s="3" t="s">
        <v>55</v>
      </c>
      <c r="F52" s="3" t="s">
        <v>1</v>
      </c>
      <c r="J52" t="s">
        <v>140</v>
      </c>
      <c r="N52" t="s">
        <v>141</v>
      </c>
    </row>
    <row r="53" spans="1:14" x14ac:dyDescent="0.2">
      <c r="A53">
        <v>1</v>
      </c>
      <c r="B53" t="str">
        <f>IF(Ber!A$78=1,Geg!J53,Geg!N53)</f>
        <v>Betonblokken lambda = 1,27 W/mK</v>
      </c>
      <c r="C53" s="14"/>
      <c r="D53" s="3">
        <v>140</v>
      </c>
      <c r="E53" s="3">
        <v>1.27</v>
      </c>
      <c r="F53" s="5">
        <f t="shared" ref="F53:F59" si="0">(D53/1000)/E53</f>
        <v>0.11023622047244096</v>
      </c>
      <c r="G53" t="s">
        <v>111</v>
      </c>
      <c r="J53" t="s">
        <v>121</v>
      </c>
      <c r="N53" t="s">
        <v>174</v>
      </c>
    </row>
    <row r="54" spans="1:14" x14ac:dyDescent="0.2">
      <c r="A54">
        <v>2</v>
      </c>
      <c r="B54" t="str">
        <f>IF(Ber!A$78=1,Geg!J54,Geg!N54)</f>
        <v>Betonblokken lambda = 1,36 W/mK</v>
      </c>
      <c r="C54" s="14"/>
      <c r="D54" s="3">
        <v>140</v>
      </c>
      <c r="E54" s="3">
        <v>1.36</v>
      </c>
      <c r="F54" s="5">
        <f t="shared" si="0"/>
        <v>0.10294117647058824</v>
      </c>
      <c r="G54" t="s">
        <v>111</v>
      </c>
      <c r="J54" t="s">
        <v>122</v>
      </c>
      <c r="N54" t="s">
        <v>175</v>
      </c>
    </row>
    <row r="55" spans="1:14" x14ac:dyDescent="0.2">
      <c r="A55">
        <v>3</v>
      </c>
      <c r="B55" t="str">
        <f>IF(Ber!A$78=1,Geg!J55,Geg!N55)</f>
        <v>Cellenbeton lambda = 0,10 W/mK</v>
      </c>
      <c r="C55" s="14"/>
      <c r="D55" s="3">
        <v>140</v>
      </c>
      <c r="E55" s="3">
        <v>0.1</v>
      </c>
      <c r="F55" s="5">
        <f t="shared" si="0"/>
        <v>1.4000000000000001</v>
      </c>
      <c r="G55" t="s">
        <v>111</v>
      </c>
      <c r="J55" t="s">
        <v>123</v>
      </c>
      <c r="N55" t="s">
        <v>176</v>
      </c>
    </row>
    <row r="56" spans="1:14" x14ac:dyDescent="0.2">
      <c r="A56">
        <v>4</v>
      </c>
      <c r="B56" t="str">
        <f>IF(Ber!A$78=1,Geg!J56,Geg!N56)</f>
        <v>Cellenbeton lambda = 0,14 W/mK</v>
      </c>
      <c r="C56" s="14"/>
      <c r="D56" s="3">
        <v>140</v>
      </c>
      <c r="E56" s="3">
        <v>0.14000000000000001</v>
      </c>
      <c r="F56" s="5">
        <f t="shared" si="0"/>
        <v>1</v>
      </c>
      <c r="G56" t="s">
        <v>111</v>
      </c>
      <c r="J56" t="s">
        <v>124</v>
      </c>
      <c r="N56" t="s">
        <v>177</v>
      </c>
    </row>
    <row r="57" spans="1:14" x14ac:dyDescent="0.2">
      <c r="A57">
        <v>5</v>
      </c>
      <c r="B57" t="str">
        <f>IF(Ber!A$78=1,Geg!J57,Geg!N57)</f>
        <v>Cellenbeton lambda = 0,17 W/mK</v>
      </c>
      <c r="C57" s="14"/>
      <c r="D57" s="3">
        <v>140</v>
      </c>
      <c r="E57" s="3">
        <v>0.17</v>
      </c>
      <c r="F57" s="5">
        <f t="shared" si="0"/>
        <v>0.82352941176470595</v>
      </c>
      <c r="G57" t="s">
        <v>111</v>
      </c>
      <c r="J57" t="s">
        <v>125</v>
      </c>
      <c r="N57" t="s">
        <v>178</v>
      </c>
    </row>
    <row r="58" spans="1:14" x14ac:dyDescent="0.2">
      <c r="A58">
        <v>6</v>
      </c>
      <c r="B58" t="str">
        <f>IF(Ber!A$78=1,Geg!J58,Geg!N58)</f>
        <v>Kalkzandsteen lambda = 0,50 W/mK</v>
      </c>
      <c r="C58" s="14"/>
      <c r="D58" s="3">
        <v>140</v>
      </c>
      <c r="E58" s="3">
        <v>0.5</v>
      </c>
      <c r="F58" s="5">
        <f t="shared" si="0"/>
        <v>0.28000000000000003</v>
      </c>
      <c r="G58" t="s">
        <v>111</v>
      </c>
      <c r="J58" t="s">
        <v>148</v>
      </c>
      <c r="N58" t="s">
        <v>179</v>
      </c>
    </row>
    <row r="59" spans="1:14" x14ac:dyDescent="0.2">
      <c r="A59">
        <v>7</v>
      </c>
      <c r="B59" t="str">
        <f>IF(Ber!A$78=1,Geg!J59,Geg!N59)</f>
        <v>Kalkzandsteen lambda = 0,70 W/mK</v>
      </c>
      <c r="C59" s="14"/>
      <c r="D59" s="3">
        <v>140</v>
      </c>
      <c r="E59" s="3">
        <v>0.7</v>
      </c>
      <c r="F59" s="5">
        <f t="shared" si="0"/>
        <v>0.20000000000000004</v>
      </c>
      <c r="G59" t="s">
        <v>111</v>
      </c>
      <c r="J59" t="s">
        <v>149</v>
      </c>
      <c r="N59" t="s">
        <v>186</v>
      </c>
    </row>
    <row r="60" spans="1:14" x14ac:dyDescent="0.2">
      <c r="A60">
        <v>8</v>
      </c>
      <c r="B60" t="str">
        <f>IF(Ber!A$78=1,Geg!J60,Geg!N60)</f>
        <v>Kalkzandsteen lambda = 0,93 W/mK</v>
      </c>
      <c r="C60" s="14"/>
      <c r="D60" s="3">
        <v>140</v>
      </c>
      <c r="E60" s="3">
        <v>0.93</v>
      </c>
      <c r="F60" s="5">
        <f t="shared" ref="F60:F67" si="1">(D60/1000)/E60</f>
        <v>0.15053763440860216</v>
      </c>
      <c r="G60" t="s">
        <v>111</v>
      </c>
      <c r="J60" t="s">
        <v>150</v>
      </c>
      <c r="N60" t="s">
        <v>180</v>
      </c>
    </row>
    <row r="61" spans="1:14" x14ac:dyDescent="0.2">
      <c r="A61">
        <v>9</v>
      </c>
      <c r="B61" t="str">
        <f>IF(Ber!A$78=1,Geg!J61,Geg!N61)</f>
        <v>Porotherm PLS 90</v>
      </c>
      <c r="D61" s="3">
        <v>90</v>
      </c>
      <c r="E61" s="3">
        <v>0.28999999999999998</v>
      </c>
      <c r="F61" s="5">
        <f t="shared" si="1"/>
        <v>0.31034482758620691</v>
      </c>
      <c r="G61" t="s">
        <v>111</v>
      </c>
      <c r="J61" t="s">
        <v>112</v>
      </c>
      <c r="N61" t="s">
        <v>112</v>
      </c>
    </row>
    <row r="62" spans="1:14" x14ac:dyDescent="0.2">
      <c r="A62">
        <v>10</v>
      </c>
      <c r="B62" t="str">
        <f>IF(Ber!A$78=1,Geg!J62,Geg!N62)</f>
        <v>Porotherm PLS 140</v>
      </c>
      <c r="D62" s="3">
        <v>140</v>
      </c>
      <c r="E62" s="3">
        <v>0.26</v>
      </c>
      <c r="F62" s="5">
        <f t="shared" si="1"/>
        <v>0.53846153846153855</v>
      </c>
      <c r="G62" t="s">
        <v>111</v>
      </c>
      <c r="J62" t="s">
        <v>113</v>
      </c>
      <c r="N62" t="s">
        <v>113</v>
      </c>
    </row>
    <row r="63" spans="1:14" x14ac:dyDescent="0.2">
      <c r="A63">
        <v>11</v>
      </c>
      <c r="B63" t="str">
        <f>IF(Ber!A$78=1,Geg!J63,Geg!N63)</f>
        <v>Porotherm Hogedruk 90</v>
      </c>
      <c r="D63" s="3">
        <v>90</v>
      </c>
      <c r="E63" s="3">
        <v>0.32</v>
      </c>
      <c r="F63" s="5">
        <f t="shared" si="1"/>
        <v>0.28125</v>
      </c>
      <c r="G63" t="s">
        <v>111</v>
      </c>
      <c r="J63" t="s">
        <v>114</v>
      </c>
      <c r="N63" t="s">
        <v>114</v>
      </c>
    </row>
    <row r="64" spans="1:14" x14ac:dyDescent="0.2">
      <c r="A64">
        <v>12</v>
      </c>
      <c r="B64" t="str">
        <f>IF(Ber!A$78=1,Geg!J64,Geg!N64)</f>
        <v>Porotherm Hogedruk 140</v>
      </c>
      <c r="D64" s="3">
        <v>140</v>
      </c>
      <c r="E64" s="3">
        <v>0.35</v>
      </c>
      <c r="F64" s="5">
        <f t="shared" si="1"/>
        <v>0.40000000000000008</v>
      </c>
      <c r="G64" t="s">
        <v>111</v>
      </c>
      <c r="J64" t="s">
        <v>115</v>
      </c>
      <c r="N64" t="s">
        <v>115</v>
      </c>
    </row>
    <row r="65" spans="1:14" x14ac:dyDescent="0.2">
      <c r="A65">
        <v>13</v>
      </c>
      <c r="B65" t="str">
        <f>IF(Ber!A$78=1,Geg!J65,Geg!N65)</f>
        <v>Porotherm silent brick</v>
      </c>
      <c r="D65" s="3">
        <v>90</v>
      </c>
      <c r="E65" s="3">
        <v>0.39</v>
      </c>
      <c r="F65" s="5">
        <f t="shared" si="1"/>
        <v>0.23076923076923075</v>
      </c>
      <c r="G65" t="s">
        <v>111</v>
      </c>
      <c r="J65" t="s">
        <v>110</v>
      </c>
      <c r="N65" t="s">
        <v>181</v>
      </c>
    </row>
    <row r="66" spans="1:14" x14ac:dyDescent="0.2">
      <c r="A66">
        <v>14</v>
      </c>
      <c r="B66" t="str">
        <f>IF(Ber!A$78=1,Geg!J66,Geg!N66)</f>
        <v>Snelbouwsteen</v>
      </c>
      <c r="D66" s="3">
        <v>140</v>
      </c>
      <c r="E66" s="3">
        <v>0.41</v>
      </c>
      <c r="F66" s="5">
        <f t="shared" si="1"/>
        <v>0.34146341463414637</v>
      </c>
      <c r="G66" t="s">
        <v>99</v>
      </c>
      <c r="J66" t="s">
        <v>60</v>
      </c>
      <c r="N66" t="s">
        <v>182</v>
      </c>
    </row>
    <row r="67" spans="1:14" x14ac:dyDescent="0.2">
      <c r="A67">
        <v>15</v>
      </c>
      <c r="B67" t="str">
        <f>IF(Ber!A$78=1,Geg!J67,Geg!N67)</f>
        <v>Beton lambda = 1,00 W/mK</v>
      </c>
      <c r="D67" s="3">
        <v>80</v>
      </c>
      <c r="E67" s="3">
        <v>1</v>
      </c>
      <c r="F67" s="5">
        <f t="shared" si="1"/>
        <v>0.08</v>
      </c>
      <c r="J67" t="s">
        <v>192</v>
      </c>
      <c r="N67" t="s">
        <v>193</v>
      </c>
    </row>
    <row r="68" spans="1:14" x14ac:dyDescent="0.2">
      <c r="D68" s="3"/>
      <c r="E68" s="3"/>
      <c r="F68" s="3"/>
    </row>
    <row r="69" spans="1:14" ht="15.75" x14ac:dyDescent="0.3">
      <c r="A69" t="s">
        <v>64</v>
      </c>
      <c r="D69" s="3" t="s">
        <v>52</v>
      </c>
      <c r="F69" s="4" t="s">
        <v>53</v>
      </c>
      <c r="G69" s="3" t="s">
        <v>58</v>
      </c>
    </row>
    <row r="70" spans="1:14" x14ac:dyDescent="0.2">
      <c r="D70" s="3" t="s">
        <v>54</v>
      </c>
      <c r="F70" s="3" t="s">
        <v>55</v>
      </c>
      <c r="G70" s="3" t="s">
        <v>1</v>
      </c>
      <c r="J70" t="s">
        <v>140</v>
      </c>
      <c r="N70" t="s">
        <v>141</v>
      </c>
    </row>
    <row r="71" spans="1:14" x14ac:dyDescent="0.2">
      <c r="A71">
        <v>1</v>
      </c>
      <c r="B71" t="str">
        <f>IF(Ber!A$78=1,Geg!J71,Geg!N71)</f>
        <v>Gipspleister</v>
      </c>
      <c r="D71" s="3">
        <v>0</v>
      </c>
      <c r="E71" t="s">
        <v>126</v>
      </c>
      <c r="F71" s="3">
        <v>0.52</v>
      </c>
      <c r="G71" s="5">
        <f>(D71/1000)/F71</f>
        <v>0</v>
      </c>
      <c r="H71" t="s">
        <v>99</v>
      </c>
      <c r="J71" t="s">
        <v>98</v>
      </c>
      <c r="N71" t="s">
        <v>155</v>
      </c>
    </row>
    <row r="72" spans="1:14" x14ac:dyDescent="0.2">
      <c r="A72">
        <v>2</v>
      </c>
      <c r="B72" t="str">
        <f>IF(Ber!A$78=1,Geg!J72,Geg!N72)</f>
        <v>Gipspleister</v>
      </c>
      <c r="D72" s="3">
        <v>10</v>
      </c>
      <c r="E72" t="s">
        <v>127</v>
      </c>
      <c r="F72" s="3">
        <v>0.52</v>
      </c>
      <c r="G72" s="5">
        <f>(D72/1000)/F72</f>
        <v>1.9230769230769232E-2</v>
      </c>
      <c r="H72" t="s">
        <v>99</v>
      </c>
      <c r="J72" t="s">
        <v>98</v>
      </c>
      <c r="N72" t="s">
        <v>155</v>
      </c>
    </row>
    <row r="73" spans="1:14" x14ac:dyDescent="0.2">
      <c r="A73">
        <v>3</v>
      </c>
      <c r="B73" t="str">
        <f>IF(Ber!A$78=1,Geg!J73,Geg!N73)</f>
        <v>Gipspleister</v>
      </c>
      <c r="C73" s="14"/>
      <c r="D73" s="16">
        <v>15</v>
      </c>
      <c r="E73" t="s">
        <v>128</v>
      </c>
      <c r="F73" s="16">
        <v>0.52</v>
      </c>
      <c r="G73" s="5">
        <f>(D73/1000)/F73</f>
        <v>2.8846153846153844E-2</v>
      </c>
      <c r="H73" t="s">
        <v>99</v>
      </c>
      <c r="J73" s="14" t="s">
        <v>98</v>
      </c>
      <c r="N73" t="s">
        <v>155</v>
      </c>
    </row>
    <row r="74" spans="1:14" x14ac:dyDescent="0.2">
      <c r="D74" s="3"/>
      <c r="E74" s="3"/>
      <c r="F74" s="3"/>
    </row>
    <row r="75" spans="1:14" x14ac:dyDescent="0.2">
      <c r="A75" t="s">
        <v>48</v>
      </c>
    </row>
    <row r="77" spans="1:14" ht="14.25" x14ac:dyDescent="0.2">
      <c r="A77">
        <v>1</v>
      </c>
      <c r="B77" t="s">
        <v>62</v>
      </c>
    </row>
    <row r="78" spans="1:14" x14ac:dyDescent="0.2">
      <c r="A78">
        <v>2</v>
      </c>
      <c r="B78" t="s">
        <v>61</v>
      </c>
    </row>
    <row r="80" spans="1:14" ht="15.75" x14ac:dyDescent="0.3">
      <c r="A80" t="s">
        <v>63</v>
      </c>
      <c r="D80" s="3" t="s">
        <v>52</v>
      </c>
      <c r="E80" s="4" t="s">
        <v>53</v>
      </c>
      <c r="F80" s="3" t="s">
        <v>30</v>
      </c>
    </row>
    <row r="81" spans="1:6" x14ac:dyDescent="0.2">
      <c r="B81" t="str">
        <f>IF(Ber!D57=1,"PolyFort+","W-PF")</f>
        <v>PolyFort+</v>
      </c>
      <c r="D81" s="3" t="s">
        <v>54</v>
      </c>
      <c r="E81" s="3" t="s">
        <v>55</v>
      </c>
      <c r="F81" s="3" t="s">
        <v>1</v>
      </c>
    </row>
    <row r="82" spans="1:6" x14ac:dyDescent="0.2">
      <c r="C82" s="3" t="str">
        <f>IF(Ber!D$57=1,"40 mm","60 mm")</f>
        <v>40 mm</v>
      </c>
      <c r="D82" s="3">
        <f>IF(Ber!D57=1,40,60)</f>
        <v>40</v>
      </c>
      <c r="E82" s="3">
        <f>IF(Ber!D$57=1,0.031,0.035)</f>
        <v>3.1E-2</v>
      </c>
      <c r="F82" s="6">
        <f t="shared" ref="F82:F85" si="2">FLOOR((D82/1000)/E82,0.05)</f>
        <v>1.25</v>
      </c>
    </row>
    <row r="83" spans="1:6" x14ac:dyDescent="0.2">
      <c r="C83" s="3" t="str">
        <f>IF(Ber!D$57=1,"50 mm","80 mm")</f>
        <v>50 mm</v>
      </c>
      <c r="D83" s="3">
        <f>IF(Ber!D57=1,50,80)</f>
        <v>50</v>
      </c>
      <c r="E83" s="3">
        <f>IF(Ber!D$57=1,0.031,0.035)</f>
        <v>3.1E-2</v>
      </c>
      <c r="F83" s="6">
        <f t="shared" si="2"/>
        <v>1.6</v>
      </c>
    </row>
    <row r="84" spans="1:6" x14ac:dyDescent="0.2">
      <c r="C84" s="3" t="str">
        <f>IF(Ber!D$57=1,"60 mm","100 mm")</f>
        <v>60 mm</v>
      </c>
      <c r="D84" s="3">
        <f>IF(Ber!D57=1,60,100)</f>
        <v>60</v>
      </c>
      <c r="E84" s="3">
        <f>IF(Ber!D$57=1,0.031,0.035)</f>
        <v>3.1E-2</v>
      </c>
      <c r="F84" s="6">
        <f t="shared" si="2"/>
        <v>1.9000000000000001</v>
      </c>
    </row>
    <row r="85" spans="1:6" x14ac:dyDescent="0.2">
      <c r="C85" s="3" t="s">
        <v>199</v>
      </c>
      <c r="D85" s="3">
        <v>79</v>
      </c>
      <c r="E85" s="3">
        <f>IF(Ber!D$57=1,0.031,0.035)</f>
        <v>3.1E-2</v>
      </c>
      <c r="F85" s="6">
        <f t="shared" si="2"/>
        <v>2.5</v>
      </c>
    </row>
    <row r="86" spans="1:6" x14ac:dyDescent="0.2">
      <c r="A86">
        <v>1</v>
      </c>
      <c r="C86" s="173" t="s">
        <v>256</v>
      </c>
      <c r="D86" s="3">
        <v>110</v>
      </c>
      <c r="E86" s="3">
        <f>IF(Ber!D$57=1,0.031,0.035)</f>
        <v>3.1E-2</v>
      </c>
      <c r="F86" s="6">
        <f>FLOOR((D86/1000)/E86,0.05)</f>
        <v>3.5</v>
      </c>
    </row>
    <row r="87" spans="1:6" x14ac:dyDescent="0.2">
      <c r="A87">
        <v>2</v>
      </c>
      <c r="C87" s="185" t="s">
        <v>261</v>
      </c>
      <c r="D87" s="3">
        <v>124</v>
      </c>
      <c r="E87" s="3">
        <v>3.1E-2</v>
      </c>
      <c r="F87" s="6">
        <f>FLOOR((D87/1000)/E87,0.05)</f>
        <v>4</v>
      </c>
    </row>
    <row r="88" spans="1:6" x14ac:dyDescent="0.2">
      <c r="A88">
        <v>3</v>
      </c>
      <c r="C88" s="185" t="s">
        <v>260</v>
      </c>
      <c r="D88" s="3">
        <v>134</v>
      </c>
      <c r="E88" s="3">
        <v>3.1E-2</v>
      </c>
      <c r="F88" s="6">
        <f>FLOOR((D88/1000)/E88,0.05)</f>
        <v>4.3</v>
      </c>
    </row>
    <row r="89" spans="1:6" x14ac:dyDescent="0.2">
      <c r="A89">
        <v>4</v>
      </c>
      <c r="C89" s="185" t="s">
        <v>259</v>
      </c>
      <c r="D89" s="3">
        <v>165</v>
      </c>
      <c r="E89" s="3">
        <v>3.1E-2</v>
      </c>
      <c r="F89" s="6">
        <f>FLOOR((D89/1000)/E89,0.05)</f>
        <v>5.3000000000000007</v>
      </c>
    </row>
    <row r="90" spans="1:6" x14ac:dyDescent="0.2">
      <c r="A90">
        <v>5</v>
      </c>
      <c r="C90" s="185" t="s">
        <v>258</v>
      </c>
      <c r="D90" s="3">
        <v>196</v>
      </c>
      <c r="E90" s="3">
        <v>3.1E-2</v>
      </c>
      <c r="F90" s="6">
        <v>6.9</v>
      </c>
    </row>
    <row r="91" spans="1:6" x14ac:dyDescent="0.2">
      <c r="A91">
        <v>6</v>
      </c>
      <c r="C91" s="173" t="s">
        <v>257</v>
      </c>
      <c r="D91" s="3">
        <v>220</v>
      </c>
      <c r="E91" s="3">
        <v>3.1E-2</v>
      </c>
      <c r="F91" s="6">
        <f>FLOOR((D91/1000)/E91,0.05)</f>
        <v>7.0500000000000007</v>
      </c>
    </row>
    <row r="92" spans="1:6" x14ac:dyDescent="0.2">
      <c r="A92">
        <v>7</v>
      </c>
      <c r="C92" s="185" t="s">
        <v>262</v>
      </c>
      <c r="D92" s="3">
        <v>234</v>
      </c>
      <c r="E92" s="3">
        <v>3.1E-2</v>
      </c>
      <c r="F92" s="6">
        <f>FLOOR((D92/1000)/E92,0.05)</f>
        <v>7.5</v>
      </c>
    </row>
    <row r="93" spans="1:6" x14ac:dyDescent="0.2">
      <c r="A93">
        <v>8</v>
      </c>
      <c r="C93" s="185" t="s">
        <v>263</v>
      </c>
      <c r="D93" s="3">
        <v>244</v>
      </c>
      <c r="E93" s="3">
        <v>3.1E-2</v>
      </c>
      <c r="F93" s="6">
        <f>FLOOR((D93/1000)/E93,0.05)</f>
        <v>7.8500000000000005</v>
      </c>
    </row>
    <row r="94" spans="1:6" x14ac:dyDescent="0.2">
      <c r="A94">
        <v>9</v>
      </c>
      <c r="C94" s="185" t="s">
        <v>264</v>
      </c>
      <c r="D94" s="3">
        <v>275</v>
      </c>
      <c r="E94" s="3">
        <v>3.1E-2</v>
      </c>
      <c r="F94" s="6">
        <f>FLOOR((D94/1000)/E94,0.05)</f>
        <v>8.85</v>
      </c>
    </row>
    <row r="95" spans="1:6" x14ac:dyDescent="0.2">
      <c r="A95">
        <v>10</v>
      </c>
    </row>
    <row r="96" spans="1:6" x14ac:dyDescent="0.2">
      <c r="C96" s="173"/>
      <c r="D96" s="3"/>
      <c r="E96" s="3"/>
      <c r="F96" s="6"/>
    </row>
    <row r="97" spans="1:6" x14ac:dyDescent="0.2">
      <c r="C97" s="173"/>
      <c r="D97" s="3"/>
      <c r="E97" s="3"/>
      <c r="F97" s="6"/>
    </row>
    <row r="98" spans="1:6" x14ac:dyDescent="0.2">
      <c r="C98" s="173"/>
      <c r="D98" s="3"/>
      <c r="E98" s="3"/>
      <c r="F98" s="6"/>
    </row>
    <row r="99" spans="1:6" x14ac:dyDescent="0.2">
      <c r="C99" s="3"/>
      <c r="D99" s="3"/>
      <c r="E99" s="3"/>
      <c r="F99" s="6"/>
    </row>
    <row r="100" spans="1:6" x14ac:dyDescent="0.2">
      <c r="C100" s="3"/>
      <c r="D100" s="3"/>
      <c r="E100" s="3"/>
      <c r="F100" s="6"/>
    </row>
    <row r="101" spans="1:6" x14ac:dyDescent="0.2">
      <c r="A101" t="s">
        <v>211</v>
      </c>
      <c r="C101" s="3"/>
      <c r="D101" s="3"/>
      <c r="E101" s="3"/>
      <c r="F101" s="6"/>
    </row>
    <row r="102" spans="1:6" x14ac:dyDescent="0.2">
      <c r="C102" s="3"/>
      <c r="D102" s="3"/>
      <c r="E102" s="3"/>
      <c r="F102" s="6"/>
    </row>
    <row r="103" spans="1:6" x14ac:dyDescent="0.2">
      <c r="A103">
        <v>1</v>
      </c>
      <c r="B103" s="3">
        <v>30</v>
      </c>
      <c r="C103" s="3">
        <v>30</v>
      </c>
      <c r="D103" s="3"/>
      <c r="E103" s="3"/>
      <c r="F103" s="6"/>
    </row>
    <row r="104" spans="1:6" x14ac:dyDescent="0.2">
      <c r="A104">
        <v>2</v>
      </c>
      <c r="B104" s="3">
        <v>40</v>
      </c>
      <c r="C104" s="3">
        <v>40</v>
      </c>
      <c r="D104" s="3"/>
      <c r="E104" s="3"/>
      <c r="F104" s="6"/>
    </row>
    <row r="105" spans="1:6" x14ac:dyDescent="0.2">
      <c r="A105">
        <v>3</v>
      </c>
      <c r="B105" s="3">
        <v>45</v>
      </c>
      <c r="C105" s="3">
        <v>45</v>
      </c>
      <c r="D105" s="3"/>
      <c r="E105" s="3"/>
      <c r="F105" s="6"/>
    </row>
    <row r="106" spans="1:6" x14ac:dyDescent="0.2">
      <c r="A106">
        <v>4</v>
      </c>
      <c r="B106" s="3">
        <v>50</v>
      </c>
      <c r="C106" s="3">
        <v>50</v>
      </c>
      <c r="D106" s="3"/>
      <c r="E106" s="3"/>
      <c r="F106" s="6"/>
    </row>
    <row r="107" spans="1:6" x14ac:dyDescent="0.2">
      <c r="A107">
        <v>5</v>
      </c>
      <c r="B107" s="3">
        <v>55</v>
      </c>
      <c r="C107" s="3">
        <v>55</v>
      </c>
      <c r="D107" s="3"/>
      <c r="E107" s="3"/>
      <c r="F107" s="6"/>
    </row>
    <row r="108" spans="1:6" x14ac:dyDescent="0.2">
      <c r="A108">
        <v>6</v>
      </c>
      <c r="B108" s="3">
        <v>60</v>
      </c>
      <c r="C108" s="3">
        <v>60</v>
      </c>
      <c r="D108" s="3"/>
      <c r="E108" s="3"/>
      <c r="F108" s="6"/>
    </row>
    <row r="109" spans="1:6" x14ac:dyDescent="0.2">
      <c r="A109">
        <v>7</v>
      </c>
      <c r="B109" s="3">
        <v>65</v>
      </c>
      <c r="C109" s="3">
        <v>65</v>
      </c>
      <c r="D109" s="3"/>
      <c r="E109" s="3"/>
      <c r="F109" s="6"/>
    </row>
    <row r="110" spans="1:6" x14ac:dyDescent="0.2">
      <c r="A110">
        <v>8</v>
      </c>
      <c r="B110" s="3">
        <v>70</v>
      </c>
      <c r="C110" s="3">
        <v>70</v>
      </c>
      <c r="D110" s="3"/>
      <c r="E110" s="3"/>
      <c r="F110" s="6"/>
    </row>
    <row r="111" spans="1:6" x14ac:dyDescent="0.2">
      <c r="A111">
        <v>9</v>
      </c>
      <c r="B111" s="3">
        <v>79</v>
      </c>
      <c r="C111" s="3">
        <v>79</v>
      </c>
      <c r="D111" s="3"/>
      <c r="E111" s="3"/>
      <c r="F111" s="6"/>
    </row>
    <row r="112" spans="1:6" x14ac:dyDescent="0.2">
      <c r="A112">
        <v>10</v>
      </c>
      <c r="B112" s="3">
        <v>80</v>
      </c>
      <c r="C112" s="3">
        <v>80</v>
      </c>
      <c r="D112" s="3"/>
      <c r="E112" s="3"/>
      <c r="F112" s="6"/>
    </row>
    <row r="113" spans="1:12" x14ac:dyDescent="0.2">
      <c r="A113">
        <v>11</v>
      </c>
      <c r="B113" s="3">
        <v>90</v>
      </c>
      <c r="C113" s="3">
        <v>90</v>
      </c>
      <c r="D113" s="3"/>
      <c r="E113" s="3"/>
      <c r="F113" s="6"/>
    </row>
    <row r="114" spans="1:12" x14ac:dyDescent="0.2">
      <c r="A114">
        <v>12</v>
      </c>
      <c r="B114" s="3">
        <v>93</v>
      </c>
      <c r="C114" s="3">
        <v>93</v>
      </c>
      <c r="D114" s="3"/>
      <c r="E114" s="3"/>
      <c r="F114" s="6"/>
    </row>
    <row r="115" spans="1:12" x14ac:dyDescent="0.2">
      <c r="A115">
        <v>13</v>
      </c>
      <c r="B115" s="3">
        <v>100</v>
      </c>
      <c r="C115" s="3">
        <v>100</v>
      </c>
      <c r="D115" s="3"/>
      <c r="E115" s="3"/>
      <c r="F115" s="6"/>
    </row>
    <row r="116" spans="1:12" x14ac:dyDescent="0.2">
      <c r="A116">
        <v>14</v>
      </c>
      <c r="B116" s="3">
        <v>109</v>
      </c>
      <c r="C116" s="3">
        <v>109</v>
      </c>
      <c r="D116" s="3"/>
      <c r="E116" s="3"/>
      <c r="F116" s="6"/>
    </row>
    <row r="117" spans="1:12" x14ac:dyDescent="0.2">
      <c r="D117" s="3"/>
      <c r="E117" s="3"/>
      <c r="F117" s="6"/>
    </row>
    <row r="119" spans="1:12" x14ac:dyDescent="0.2">
      <c r="A119" t="s">
        <v>49</v>
      </c>
      <c r="E119" s="4" t="s">
        <v>53</v>
      </c>
      <c r="F119" t="s">
        <v>65</v>
      </c>
    </row>
    <row r="120" spans="1:12" x14ac:dyDescent="0.2">
      <c r="E120" s="3" t="s">
        <v>55</v>
      </c>
      <c r="F120" t="s">
        <v>66</v>
      </c>
      <c r="I120" t="s">
        <v>140</v>
      </c>
      <c r="L120" t="s">
        <v>141</v>
      </c>
    </row>
    <row r="121" spans="1:12" x14ac:dyDescent="0.2">
      <c r="A121">
        <v>1</v>
      </c>
      <c r="B121" t="str">
        <f>IF(Ber!A78=1,Geg!I121,Geg!L121)</f>
        <v>RVS Ø 4,2 mm</v>
      </c>
      <c r="E121">
        <v>15</v>
      </c>
      <c r="F121" s="74">
        <f>(1/4)*(22/7)*((4.2*4.2)/(1000*1000))</f>
        <v>1.3859999999999999E-5</v>
      </c>
      <c r="I121" t="s">
        <v>138</v>
      </c>
      <c r="L121" t="s">
        <v>162</v>
      </c>
    </row>
    <row r="122" spans="1:12" x14ac:dyDescent="0.2">
      <c r="A122">
        <v>2</v>
      </c>
      <c r="B122" t="str">
        <f>IF(Ber!A78=1,Geg!I122,Geg!L122)</f>
        <v>RVS Ø 4,8 mm</v>
      </c>
      <c r="E122">
        <v>15</v>
      </c>
      <c r="F122" s="73">
        <f>(1/4)*(22/7)*((4.8*4.8)/(1000*1000))</f>
        <v>1.8102857142857143E-5</v>
      </c>
      <c r="I122" t="s">
        <v>139</v>
      </c>
      <c r="L122" t="s">
        <v>163</v>
      </c>
    </row>
    <row r="123" spans="1:12" x14ac:dyDescent="0.2">
      <c r="A123">
        <v>3</v>
      </c>
      <c r="B123" t="str">
        <f>IF(Ber!A78=1,Geg!I123,Geg!L123)</f>
        <v>Gegalv. staal  Ø 4,0 mm</v>
      </c>
      <c r="E123">
        <v>50</v>
      </c>
      <c r="F123">
        <f>1.3/100000</f>
        <v>1.3000000000000001E-5</v>
      </c>
      <c r="G123" t="s">
        <v>188</v>
      </c>
      <c r="I123" t="s">
        <v>118</v>
      </c>
      <c r="L123" t="s">
        <v>164</v>
      </c>
    </row>
    <row r="124" spans="1:12" x14ac:dyDescent="0.2">
      <c r="A124">
        <v>4</v>
      </c>
      <c r="B124" t="str">
        <f>IF(Ber!A78=1,Geg!I124,Geg!L124)</f>
        <v>Gegalv. staal  Ø 4,2 mm</v>
      </c>
      <c r="E124">
        <v>50</v>
      </c>
      <c r="F124">
        <f>(1/4)*(22/7)*((4.2*4.2)/(1000*1000))</f>
        <v>1.3859999999999999E-5</v>
      </c>
      <c r="I124" t="s">
        <v>119</v>
      </c>
      <c r="L124" t="s">
        <v>165</v>
      </c>
    </row>
    <row r="125" spans="1:12" x14ac:dyDescent="0.2">
      <c r="A125">
        <v>5</v>
      </c>
      <c r="B125" t="str">
        <f>IF(Ber!A78=1,Geg!I125,Geg!L125)</f>
        <v>Gegalv. staal  Ø 4,8 mm</v>
      </c>
      <c r="E125">
        <v>50</v>
      </c>
      <c r="F125">
        <f>(1/4)*(22/7)*((4.8*4.8)/(1000*1000))</f>
        <v>1.8102857142857143E-5</v>
      </c>
      <c r="I125" t="s">
        <v>120</v>
      </c>
      <c r="L125" t="s">
        <v>166</v>
      </c>
    </row>
    <row r="127" spans="1:12" x14ac:dyDescent="0.2">
      <c r="A127" t="s">
        <v>67</v>
      </c>
      <c r="F127" s="75" t="s">
        <v>189</v>
      </c>
      <c r="G127">
        <f>(1/4)*(22/7)*((4*4)/(1000*1000))</f>
        <v>1.257142857142857E-5</v>
      </c>
    </row>
    <row r="128" spans="1:12" x14ac:dyDescent="0.2">
      <c r="A128">
        <v>1</v>
      </c>
      <c r="B128">
        <v>1</v>
      </c>
    </row>
    <row r="129" spans="1:4" x14ac:dyDescent="0.2">
      <c r="A129">
        <v>2</v>
      </c>
      <c r="B129">
        <v>2</v>
      </c>
    </row>
    <row r="130" spans="1:4" x14ac:dyDescent="0.2">
      <c r="A130">
        <v>3</v>
      </c>
      <c r="B130">
        <v>3</v>
      </c>
    </row>
    <row r="131" spans="1:4" x14ac:dyDescent="0.2">
      <c r="A131">
        <v>4</v>
      </c>
      <c r="B131">
        <v>4</v>
      </c>
    </row>
    <row r="132" spans="1:4" x14ac:dyDescent="0.2">
      <c r="A132">
        <v>5</v>
      </c>
      <c r="B132">
        <v>5</v>
      </c>
    </row>
    <row r="133" spans="1:4" x14ac:dyDescent="0.2">
      <c r="A133">
        <v>6</v>
      </c>
      <c r="B133">
        <v>6</v>
      </c>
    </row>
    <row r="134" spans="1:4" x14ac:dyDescent="0.2">
      <c r="A134">
        <v>7</v>
      </c>
      <c r="B134">
        <v>7</v>
      </c>
    </row>
    <row r="137" spans="1:4" x14ac:dyDescent="0.2">
      <c r="A137" t="s">
        <v>101</v>
      </c>
    </row>
    <row r="139" spans="1:4" x14ac:dyDescent="0.2">
      <c r="A139">
        <v>1</v>
      </c>
      <c r="B139" t="s">
        <v>104</v>
      </c>
      <c r="C139" s="3">
        <v>3.3000000000000002E-2</v>
      </c>
      <c r="D139" s="3" t="s">
        <v>55</v>
      </c>
    </row>
    <row r="140" spans="1:4" x14ac:dyDescent="0.2">
      <c r="A140">
        <v>2</v>
      </c>
      <c r="B140" t="s">
        <v>103</v>
      </c>
      <c r="C140" s="3">
        <v>3.4000000000000002E-2</v>
      </c>
      <c r="D140" s="3" t="s">
        <v>55</v>
      </c>
    </row>
    <row r="141" spans="1:4" x14ac:dyDescent="0.2">
      <c r="A141">
        <v>3</v>
      </c>
      <c r="B141" t="s">
        <v>102</v>
      </c>
      <c r="C141" s="3">
        <v>3.5000000000000003E-2</v>
      </c>
      <c r="D141" s="3" t="s">
        <v>55</v>
      </c>
    </row>
    <row r="142" spans="1:4" x14ac:dyDescent="0.2">
      <c r="A142">
        <v>4</v>
      </c>
      <c r="B142" t="s">
        <v>105</v>
      </c>
      <c r="C142" s="3">
        <v>3.4000000000000002E-2</v>
      </c>
      <c r="D142" s="3" t="s">
        <v>55</v>
      </c>
    </row>
    <row r="143" spans="1:4" x14ac:dyDescent="0.2">
      <c r="A143">
        <v>5</v>
      </c>
      <c r="B143" t="s">
        <v>242</v>
      </c>
      <c r="C143" s="3">
        <v>3.5999999999999997E-2</v>
      </c>
      <c r="D143" s="3" t="s">
        <v>55</v>
      </c>
    </row>
    <row r="144" spans="1:4" x14ac:dyDescent="0.2">
      <c r="A144">
        <v>6</v>
      </c>
      <c r="B144" t="s">
        <v>244</v>
      </c>
      <c r="C144" s="3">
        <v>2.3E-2</v>
      </c>
      <c r="D144" s="3" t="s">
        <v>55</v>
      </c>
    </row>
    <row r="145" spans="1:4" x14ac:dyDescent="0.2">
      <c r="A145">
        <v>7</v>
      </c>
      <c r="B145" t="s">
        <v>245</v>
      </c>
      <c r="C145" s="3">
        <v>2.4E-2</v>
      </c>
      <c r="D145" s="3" t="s">
        <v>55</v>
      </c>
    </row>
    <row r="146" spans="1:4" x14ac:dyDescent="0.2">
      <c r="A146">
        <v>8</v>
      </c>
      <c r="B146" t="s">
        <v>246</v>
      </c>
      <c r="C146" s="3">
        <v>2.5000000000000001E-2</v>
      </c>
      <c r="D146" s="3" t="s">
        <v>55</v>
      </c>
    </row>
    <row r="147" spans="1:4" x14ac:dyDescent="0.2">
      <c r="A147">
        <v>9</v>
      </c>
      <c r="B147" t="s">
        <v>247</v>
      </c>
      <c r="C147" s="3">
        <v>2.5999999999999999E-2</v>
      </c>
      <c r="D147" s="3" t="s">
        <v>55</v>
      </c>
    </row>
    <row r="148" spans="1:4" x14ac:dyDescent="0.2">
      <c r="A148">
        <v>10</v>
      </c>
      <c r="B148" t="s">
        <v>248</v>
      </c>
      <c r="C148" s="3">
        <v>2.7E-2</v>
      </c>
      <c r="D148" s="3" t="s">
        <v>55</v>
      </c>
    </row>
    <row r="149" spans="1:4" x14ac:dyDescent="0.2">
      <c r="A149">
        <v>11</v>
      </c>
      <c r="B149" t="s">
        <v>249</v>
      </c>
      <c r="C149" s="3">
        <v>2.8000000000000001E-2</v>
      </c>
      <c r="D149" s="3" t="s">
        <v>55</v>
      </c>
    </row>
    <row r="150" spans="1:4" x14ac:dyDescent="0.2">
      <c r="A150">
        <v>12</v>
      </c>
      <c r="B150" t="s">
        <v>250</v>
      </c>
      <c r="C150" s="3">
        <v>2.9000000000000001E-2</v>
      </c>
      <c r="D150" s="3" t="s">
        <v>55</v>
      </c>
    </row>
    <row r="151" spans="1:4" x14ac:dyDescent="0.2">
      <c r="A151">
        <v>13</v>
      </c>
      <c r="B151" t="s">
        <v>201</v>
      </c>
      <c r="C151" s="3">
        <v>3.7999999999999999E-2</v>
      </c>
      <c r="D151" s="3" t="s">
        <v>55</v>
      </c>
    </row>
    <row r="152" spans="1:4" x14ac:dyDescent="0.2">
      <c r="A152">
        <v>14</v>
      </c>
      <c r="B152" t="s">
        <v>86</v>
      </c>
      <c r="C152" s="3">
        <v>3.5999999999999997E-2</v>
      </c>
      <c r="D152" s="3" t="s">
        <v>55</v>
      </c>
    </row>
    <row r="153" spans="1:4" x14ac:dyDescent="0.2">
      <c r="A153">
        <v>15</v>
      </c>
      <c r="B153" t="s">
        <v>204</v>
      </c>
      <c r="C153" s="78">
        <v>0.03</v>
      </c>
      <c r="D153" s="3" t="s">
        <v>55</v>
      </c>
    </row>
    <row r="154" spans="1:4" x14ac:dyDescent="0.2">
      <c r="A154">
        <v>16</v>
      </c>
      <c r="B154" t="s">
        <v>205</v>
      </c>
      <c r="C154" s="3">
        <v>3.1E-2</v>
      </c>
      <c r="D154" s="3" t="s">
        <v>55</v>
      </c>
    </row>
    <row r="156" spans="1:4" x14ac:dyDescent="0.2">
      <c r="A156" t="s">
        <v>207</v>
      </c>
    </row>
    <row r="158" spans="1:4" x14ac:dyDescent="0.2">
      <c r="A158">
        <v>1</v>
      </c>
      <c r="B158" t="s">
        <v>208</v>
      </c>
      <c r="C158" s="79">
        <v>0.39</v>
      </c>
      <c r="D158" s="3" t="s">
        <v>1</v>
      </c>
    </row>
    <row r="159" spans="1:4" x14ac:dyDescent="0.2">
      <c r="A159">
        <v>2</v>
      </c>
      <c r="B159" t="s">
        <v>209</v>
      </c>
      <c r="C159" s="3">
        <v>0</v>
      </c>
      <c r="D159" s="3" t="s">
        <v>1</v>
      </c>
    </row>
    <row r="162" spans="1:13" x14ac:dyDescent="0.2">
      <c r="B162" t="s">
        <v>137</v>
      </c>
    </row>
    <row r="163" spans="1:13" x14ac:dyDescent="0.2">
      <c r="A163">
        <v>1</v>
      </c>
      <c r="B163" t="s">
        <v>135</v>
      </c>
    </row>
    <row r="164" spans="1:13" x14ac:dyDescent="0.2">
      <c r="A164">
        <v>2</v>
      </c>
      <c r="B164" t="s">
        <v>136</v>
      </c>
    </row>
    <row r="166" spans="1:13" x14ac:dyDescent="0.2">
      <c r="B166" s="25" t="s">
        <v>133</v>
      </c>
      <c r="C166" s="25"/>
      <c r="D166" s="25"/>
      <c r="E166" s="25"/>
      <c r="F166" s="25"/>
      <c r="G166" s="25"/>
      <c r="H166" s="25"/>
      <c r="I166" s="25" t="s">
        <v>160</v>
      </c>
      <c r="J166" s="25"/>
    </row>
    <row r="167" spans="1:13" x14ac:dyDescent="0.2">
      <c r="B167" s="25" t="s">
        <v>169</v>
      </c>
      <c r="C167" s="25"/>
      <c r="D167" s="25"/>
      <c r="E167" s="25"/>
      <c r="F167" s="25"/>
      <c r="G167" s="25"/>
      <c r="H167" s="25"/>
      <c r="I167" s="25" t="s">
        <v>170</v>
      </c>
      <c r="J167" s="25"/>
    </row>
    <row r="168" spans="1:13" x14ac:dyDescent="0.2">
      <c r="B168" s="175" t="s">
        <v>254</v>
      </c>
      <c r="C168" s="25"/>
      <c r="D168" s="25"/>
      <c r="E168" s="25"/>
      <c r="F168" s="25"/>
      <c r="G168" s="25"/>
      <c r="H168" s="25"/>
      <c r="I168" s="175" t="s">
        <v>255</v>
      </c>
      <c r="J168" s="25"/>
    </row>
    <row r="169" spans="1:13" x14ac:dyDescent="0.2">
      <c r="B169" s="25"/>
      <c r="C169" s="25"/>
      <c r="D169" s="25"/>
      <c r="E169" s="25"/>
      <c r="F169" s="25"/>
      <c r="G169" s="25"/>
      <c r="H169" s="25"/>
      <c r="I169" s="25"/>
      <c r="J169" s="25"/>
    </row>
    <row r="170" spans="1:13" x14ac:dyDescent="0.2">
      <c r="B170" s="29" t="s">
        <v>130</v>
      </c>
      <c r="C170" s="32"/>
      <c r="D170" s="33"/>
      <c r="E170" s="33"/>
      <c r="F170" s="33"/>
      <c r="G170" s="33"/>
      <c r="H170" s="33"/>
      <c r="I170" s="29" t="s">
        <v>130</v>
      </c>
      <c r="J170" s="30"/>
    </row>
    <row r="171" spans="1:13" x14ac:dyDescent="0.2">
      <c r="B171" s="29" t="s">
        <v>131</v>
      </c>
      <c r="C171" s="32"/>
      <c r="D171" s="33"/>
      <c r="E171" s="33"/>
      <c r="F171" s="33"/>
      <c r="G171" s="33"/>
      <c r="H171" s="33"/>
      <c r="I171" s="29" t="s">
        <v>152</v>
      </c>
      <c r="J171" s="33"/>
    </row>
    <row r="172" spans="1:13" x14ac:dyDescent="0.2">
      <c r="B172" s="29" t="s">
        <v>132</v>
      </c>
      <c r="C172" s="32"/>
      <c r="D172" s="33"/>
      <c r="E172" s="33"/>
      <c r="F172" s="33"/>
      <c r="G172" s="33"/>
      <c r="H172" s="33"/>
      <c r="I172" s="29" t="s">
        <v>153</v>
      </c>
      <c r="J172" s="33"/>
    </row>
    <row r="173" spans="1:13" x14ac:dyDescent="0.2">
      <c r="B173" s="25"/>
      <c r="C173" s="25"/>
      <c r="D173" s="25"/>
      <c r="E173" s="25"/>
      <c r="F173" s="25"/>
      <c r="G173" s="25"/>
      <c r="H173" s="25"/>
      <c r="I173" s="25"/>
      <c r="J173" s="25"/>
    </row>
    <row r="174" spans="1:13" x14ac:dyDescent="0.2">
      <c r="B174" s="25"/>
      <c r="C174" s="25"/>
      <c r="D174" s="25"/>
      <c r="E174" s="25"/>
      <c r="F174" s="25"/>
      <c r="G174" s="25"/>
      <c r="H174" s="25"/>
      <c r="I174" s="25"/>
      <c r="J174" s="25"/>
    </row>
    <row r="175" spans="1:13" x14ac:dyDescent="0.2">
      <c r="B175" s="31" t="s">
        <v>45</v>
      </c>
      <c r="C175" s="25"/>
      <c r="D175" s="25"/>
      <c r="E175" s="25"/>
      <c r="F175" s="25"/>
      <c r="G175" s="25"/>
      <c r="H175" s="25"/>
      <c r="I175" s="31" t="s">
        <v>151</v>
      </c>
      <c r="J175" s="25"/>
    </row>
    <row r="176" spans="1:13" x14ac:dyDescent="0.2">
      <c r="B176" s="25" t="s">
        <v>46</v>
      </c>
      <c r="C176" s="25"/>
      <c r="D176" s="25"/>
      <c r="E176" s="25"/>
      <c r="F176" s="25" t="s">
        <v>116</v>
      </c>
      <c r="G176" s="25"/>
      <c r="H176" s="25"/>
      <c r="I176" s="25" t="s">
        <v>167</v>
      </c>
      <c r="J176" s="25"/>
      <c r="M176" s="25" t="s">
        <v>154</v>
      </c>
    </row>
    <row r="177" spans="2:13" x14ac:dyDescent="0.2">
      <c r="B177" s="25" t="s">
        <v>47</v>
      </c>
      <c r="C177" s="25"/>
      <c r="D177" s="25"/>
      <c r="E177" s="25"/>
      <c r="F177" s="25"/>
      <c r="G177" s="25"/>
      <c r="H177" s="25"/>
      <c r="I177" s="25" t="s">
        <v>157</v>
      </c>
      <c r="J177" s="25"/>
      <c r="M177" s="25"/>
    </row>
    <row r="178" spans="2:13" x14ac:dyDescent="0.2">
      <c r="B178" s="25" t="s">
        <v>48</v>
      </c>
      <c r="C178" s="25"/>
      <c r="D178" s="25"/>
      <c r="E178" s="25"/>
      <c r="F178" s="25"/>
      <c r="G178" s="25"/>
      <c r="H178" s="25"/>
      <c r="I178" s="25" t="s">
        <v>134</v>
      </c>
      <c r="J178" s="25"/>
      <c r="M178" s="25"/>
    </row>
    <row r="179" spans="2:13" x14ac:dyDescent="0.2">
      <c r="B179" s="25" t="s">
        <v>50</v>
      </c>
      <c r="C179" s="25"/>
      <c r="D179" s="25"/>
      <c r="E179" s="25"/>
      <c r="F179" s="25"/>
      <c r="G179" s="25"/>
      <c r="H179" s="25"/>
      <c r="I179" s="25" t="s">
        <v>158</v>
      </c>
      <c r="J179" s="25"/>
      <c r="M179" s="25"/>
    </row>
    <row r="180" spans="2:13" x14ac:dyDescent="0.2">
      <c r="B180" s="25" t="s">
        <v>59</v>
      </c>
      <c r="C180" s="25"/>
      <c r="D180" s="25"/>
      <c r="E180" s="25"/>
      <c r="F180" s="25"/>
      <c r="G180" s="25"/>
      <c r="H180" s="25"/>
      <c r="I180" s="25" t="s">
        <v>168</v>
      </c>
      <c r="J180" s="25"/>
      <c r="M180" s="25"/>
    </row>
    <row r="181" spans="2:13" x14ac:dyDescent="0.2">
      <c r="B181" s="25" t="s">
        <v>72</v>
      </c>
      <c r="C181" s="25"/>
      <c r="D181" s="25"/>
      <c r="E181" s="25"/>
      <c r="F181" s="25" t="s">
        <v>98</v>
      </c>
      <c r="G181" s="25"/>
      <c r="H181" s="25"/>
      <c r="I181" s="25" t="s">
        <v>156</v>
      </c>
      <c r="J181" s="25"/>
      <c r="M181" s="25" t="s">
        <v>155</v>
      </c>
    </row>
    <row r="184" spans="2:13" x14ac:dyDescent="0.2">
      <c r="B184" t="s">
        <v>147</v>
      </c>
      <c r="K184" t="s">
        <v>159</v>
      </c>
    </row>
    <row r="185" spans="2:13" x14ac:dyDescent="0.2">
      <c r="B185" t="s">
        <v>146</v>
      </c>
      <c r="K185" t="s">
        <v>171</v>
      </c>
    </row>
    <row r="186" spans="2:13" x14ac:dyDescent="0.2">
      <c r="B186" t="s">
        <v>161</v>
      </c>
      <c r="K186" t="s">
        <v>172</v>
      </c>
    </row>
    <row r="187" spans="2:13" x14ac:dyDescent="0.2">
      <c r="K187" t="s">
        <v>173</v>
      </c>
    </row>
  </sheetData>
  <sheetProtection algorithmName="SHA-512" hashValue="CWzcFqZteyE1bf+2NDvR8f7qyJXrwjbuqFTsNgfKYI1Dy7JjHH6561Uc3owGlnVJNiroiBsK3pwnSK3X+fOTXg==" saltValue="f2HCA2ANMnHbyQXnWuBsNQ==" spinCount="100000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64"/>
  <sheetViews>
    <sheetView windowProtection="1" showRowColHeaders="0" topLeftCell="A34" workbookViewId="0"/>
  </sheetViews>
  <sheetFormatPr defaultRowHeight="12.75" x14ac:dyDescent="0.2"/>
  <cols>
    <col min="7" max="7" width="14.28515625" customWidth="1"/>
  </cols>
  <sheetData>
    <row r="1" spans="1:8" x14ac:dyDescent="0.2">
      <c r="A1" s="7" t="s">
        <v>85</v>
      </c>
      <c r="F1" t="s">
        <v>200</v>
      </c>
    </row>
    <row r="2" spans="1:8" x14ac:dyDescent="0.2">
      <c r="A2" t="s">
        <v>86</v>
      </c>
      <c r="F2" t="s">
        <v>202</v>
      </c>
    </row>
    <row r="3" spans="1:8" x14ac:dyDescent="0.2">
      <c r="F3" t="s">
        <v>203</v>
      </c>
    </row>
    <row r="5" spans="1:8" ht="15.75" x14ac:dyDescent="0.3">
      <c r="B5" s="3" t="s">
        <v>52</v>
      </c>
      <c r="C5" s="4" t="s">
        <v>53</v>
      </c>
      <c r="D5" s="3" t="s">
        <v>30</v>
      </c>
      <c r="F5" s="3" t="s">
        <v>52</v>
      </c>
      <c r="G5" s="4" t="s">
        <v>53</v>
      </c>
      <c r="H5" s="3" t="s">
        <v>30</v>
      </c>
    </row>
    <row r="6" spans="1:8" x14ac:dyDescent="0.2">
      <c r="B6" s="3"/>
      <c r="C6" s="4"/>
      <c r="D6" s="3"/>
      <c r="F6" s="3"/>
      <c r="G6" s="4"/>
      <c r="H6" s="3"/>
    </row>
    <row r="7" spans="1:8" x14ac:dyDescent="0.2">
      <c r="B7" s="3">
        <v>40</v>
      </c>
      <c r="C7" s="8">
        <v>3.5999999999999997E-2</v>
      </c>
      <c r="D7" s="6">
        <f>FLOOR((B7/1000)/C7,0.05)</f>
        <v>1.1000000000000001</v>
      </c>
      <c r="F7" s="3">
        <v>30</v>
      </c>
      <c r="G7" s="8"/>
      <c r="H7" s="6">
        <v>2.1</v>
      </c>
    </row>
    <row r="8" spans="1:8" x14ac:dyDescent="0.2">
      <c r="B8" s="3">
        <v>50</v>
      </c>
      <c r="C8" s="3">
        <f>C7</f>
        <v>3.5999999999999997E-2</v>
      </c>
      <c r="D8" s="6">
        <f t="shared" ref="D8:D15" si="0">FLOOR((B8/1000)/C8,0.05)</f>
        <v>1.35</v>
      </c>
      <c r="F8" s="3">
        <v>40</v>
      </c>
      <c r="G8" s="3">
        <f>G7</f>
        <v>0</v>
      </c>
      <c r="H8" s="6">
        <v>2.4</v>
      </c>
    </row>
    <row r="9" spans="1:8" x14ac:dyDescent="0.2">
      <c r="B9" s="3">
        <v>60</v>
      </c>
      <c r="C9" s="3">
        <f>C7</f>
        <v>3.5999999999999997E-2</v>
      </c>
      <c r="D9" s="6">
        <f t="shared" si="0"/>
        <v>1.6500000000000001</v>
      </c>
      <c r="F9" s="3">
        <v>45</v>
      </c>
      <c r="G9" s="3">
        <f>G7</f>
        <v>0</v>
      </c>
      <c r="H9" s="6">
        <v>2.6</v>
      </c>
    </row>
    <row r="10" spans="1:8" x14ac:dyDescent="0.2">
      <c r="B10" s="3">
        <v>70</v>
      </c>
      <c r="C10" s="3">
        <f>C7</f>
        <v>3.5999999999999997E-2</v>
      </c>
      <c r="D10" s="6">
        <f t="shared" si="0"/>
        <v>1.9000000000000001</v>
      </c>
      <c r="F10" s="3">
        <v>50</v>
      </c>
      <c r="G10" s="3">
        <f>G7</f>
        <v>0</v>
      </c>
      <c r="H10" s="6">
        <v>2.7</v>
      </c>
    </row>
    <row r="11" spans="1:8" x14ac:dyDescent="0.2">
      <c r="B11" s="3">
        <v>80</v>
      </c>
      <c r="C11" s="3">
        <f>C7</f>
        <v>3.5999999999999997E-2</v>
      </c>
      <c r="D11" s="6">
        <f t="shared" si="0"/>
        <v>2.2000000000000002</v>
      </c>
      <c r="F11" s="3">
        <v>55</v>
      </c>
      <c r="G11" s="3">
        <f>G7</f>
        <v>0</v>
      </c>
      <c r="H11" s="6">
        <v>2.9</v>
      </c>
    </row>
    <row r="12" spans="1:8" x14ac:dyDescent="0.2">
      <c r="B12" s="3">
        <v>90</v>
      </c>
      <c r="C12" s="3">
        <f>C7</f>
        <v>3.5999999999999997E-2</v>
      </c>
      <c r="D12" s="6">
        <f t="shared" si="0"/>
        <v>2.5</v>
      </c>
      <c r="F12" s="3">
        <v>60</v>
      </c>
      <c r="G12" s="3">
        <f>G7</f>
        <v>0</v>
      </c>
      <c r="H12" s="6">
        <v>3</v>
      </c>
    </row>
    <row r="13" spans="1:8" x14ac:dyDescent="0.2">
      <c r="B13" s="3">
        <v>100</v>
      </c>
      <c r="C13" s="3">
        <f>C7</f>
        <v>3.5999999999999997E-2</v>
      </c>
      <c r="D13" s="6">
        <f t="shared" si="0"/>
        <v>2.75</v>
      </c>
      <c r="F13" s="3">
        <v>80</v>
      </c>
      <c r="G13" s="3">
        <f>G7</f>
        <v>0</v>
      </c>
      <c r="H13" s="6">
        <v>3.6</v>
      </c>
    </row>
    <row r="14" spans="1:8" x14ac:dyDescent="0.2">
      <c r="B14" s="3">
        <v>110</v>
      </c>
      <c r="C14" s="3">
        <f>C7</f>
        <v>3.5999999999999997E-2</v>
      </c>
      <c r="D14" s="6">
        <f t="shared" si="0"/>
        <v>3.0500000000000003</v>
      </c>
      <c r="F14" s="3"/>
      <c r="G14" s="3"/>
      <c r="H14" s="6"/>
    </row>
    <row r="15" spans="1:8" x14ac:dyDescent="0.2">
      <c r="B15" s="3">
        <v>120</v>
      </c>
      <c r="C15" s="3">
        <f>C7</f>
        <v>3.5999999999999997E-2</v>
      </c>
      <c r="D15" s="6">
        <f t="shared" si="0"/>
        <v>3.3000000000000003</v>
      </c>
      <c r="F15" s="3"/>
      <c r="G15" s="3"/>
      <c r="H15" s="6"/>
    </row>
    <row r="16" spans="1:8" x14ac:dyDescent="0.2">
      <c r="B16" s="3"/>
      <c r="C16" s="3"/>
      <c r="D16" s="3"/>
    </row>
    <row r="17" spans="1:16" ht="15.75" x14ac:dyDescent="0.3">
      <c r="A17" s="7" t="s">
        <v>87</v>
      </c>
      <c r="B17" s="3" t="s">
        <v>52</v>
      </c>
      <c r="C17" s="4" t="s">
        <v>53</v>
      </c>
      <c r="D17" s="3"/>
      <c r="E17" s="3"/>
      <c r="F17" s="3"/>
      <c r="G17" s="3"/>
      <c r="H17" s="3"/>
      <c r="I17" s="3"/>
      <c r="J17" s="3" t="s">
        <v>30</v>
      </c>
    </row>
    <row r="18" spans="1:16" x14ac:dyDescent="0.2">
      <c r="B18" s="3"/>
      <c r="C18" s="3" t="s">
        <v>88</v>
      </c>
      <c r="D18" s="3" t="s">
        <v>89</v>
      </c>
      <c r="E18" s="3" t="s">
        <v>90</v>
      </c>
      <c r="F18" s="3" t="s">
        <v>91</v>
      </c>
      <c r="G18" s="3" t="s">
        <v>92</v>
      </c>
      <c r="H18" s="3" t="s">
        <v>93</v>
      </c>
      <c r="I18" s="3" t="s">
        <v>94</v>
      </c>
      <c r="J18" s="3" t="s">
        <v>88</v>
      </c>
      <c r="K18" s="3" t="s">
        <v>89</v>
      </c>
      <c r="L18" s="3" t="s">
        <v>90</v>
      </c>
      <c r="M18" s="3" t="s">
        <v>91</v>
      </c>
      <c r="N18" s="3" t="s">
        <v>92</v>
      </c>
      <c r="O18" s="3" t="s">
        <v>93</v>
      </c>
      <c r="P18" s="3" t="s">
        <v>94</v>
      </c>
    </row>
    <row r="19" spans="1:16" x14ac:dyDescent="0.2">
      <c r="B19" s="3">
        <v>70</v>
      </c>
      <c r="C19" s="8">
        <v>3.3000000000000002E-2</v>
      </c>
      <c r="D19" s="8">
        <v>3.3000000000000002E-2</v>
      </c>
      <c r="E19" s="8">
        <v>3.4000000000000002E-2</v>
      </c>
      <c r="F19" s="8">
        <v>3.4000000000000002E-2</v>
      </c>
      <c r="G19" s="8">
        <v>3.4000000000000002E-2</v>
      </c>
      <c r="H19" s="8">
        <v>3.5000000000000003E-2</v>
      </c>
      <c r="I19" s="8">
        <v>3.5000000000000003E-2</v>
      </c>
      <c r="J19" s="6">
        <f>FLOOR(($B19/1000)/C19,0.05)</f>
        <v>2.1</v>
      </c>
      <c r="K19" s="6">
        <f t="shared" ref="K19:P19" si="1">FLOOR(($B19/1000)/D19,0.05)</f>
        <v>2.1</v>
      </c>
      <c r="L19" s="6">
        <f t="shared" si="1"/>
        <v>2.0500000000000003</v>
      </c>
      <c r="M19" s="6">
        <f t="shared" si="1"/>
        <v>2.0500000000000003</v>
      </c>
      <c r="N19" s="6">
        <f t="shared" si="1"/>
        <v>2.0500000000000003</v>
      </c>
      <c r="O19" s="6">
        <f t="shared" si="1"/>
        <v>2</v>
      </c>
      <c r="P19" s="6">
        <f t="shared" si="1"/>
        <v>2</v>
      </c>
    </row>
    <row r="20" spans="1:16" x14ac:dyDescent="0.2">
      <c r="B20" s="3">
        <v>80</v>
      </c>
      <c r="C20" s="3">
        <v>3.3000000000000002E-2</v>
      </c>
      <c r="D20" s="3">
        <v>3.3000000000000002E-2</v>
      </c>
      <c r="E20" s="3">
        <v>3.4000000000000002E-2</v>
      </c>
      <c r="F20" s="3">
        <v>3.4000000000000002E-2</v>
      </c>
      <c r="G20" s="3">
        <v>3.4000000000000002E-2</v>
      </c>
      <c r="H20" s="3">
        <v>3.5000000000000003E-2</v>
      </c>
      <c r="I20" s="3">
        <v>3.5000000000000003E-2</v>
      </c>
      <c r="J20" s="6">
        <f>FLOOR(($B20/1000)/C20,0.05)</f>
        <v>2.4000000000000004</v>
      </c>
      <c r="K20" s="6">
        <f t="shared" ref="K20:P22" si="2">FLOOR(($B20/1000)/D20,0.05)</f>
        <v>2.4000000000000004</v>
      </c>
      <c r="L20" s="6">
        <f t="shared" si="2"/>
        <v>2.35</v>
      </c>
      <c r="M20" s="6">
        <f t="shared" si="2"/>
        <v>2.35</v>
      </c>
      <c r="N20" s="6">
        <f t="shared" si="2"/>
        <v>2.35</v>
      </c>
      <c r="O20" s="6">
        <f t="shared" si="2"/>
        <v>2.25</v>
      </c>
      <c r="P20" s="6">
        <f t="shared" si="2"/>
        <v>2.25</v>
      </c>
    </row>
    <row r="21" spans="1:16" x14ac:dyDescent="0.2">
      <c r="B21" s="3">
        <v>90</v>
      </c>
      <c r="C21" s="3">
        <v>3.3000000000000002E-2</v>
      </c>
      <c r="D21" s="3">
        <v>3.3000000000000002E-2</v>
      </c>
      <c r="E21" s="3">
        <v>3.4000000000000002E-2</v>
      </c>
      <c r="F21" s="3">
        <v>3.4000000000000002E-2</v>
      </c>
      <c r="G21" s="3">
        <v>3.4000000000000002E-2</v>
      </c>
      <c r="H21" s="3">
        <v>3.5000000000000003E-2</v>
      </c>
      <c r="I21" s="3">
        <v>3.5000000000000003E-2</v>
      </c>
      <c r="J21" s="6">
        <f>FLOOR(($B21/1000)/C21,0.05)</f>
        <v>2.7</v>
      </c>
      <c r="K21" s="6">
        <f t="shared" si="2"/>
        <v>2.7</v>
      </c>
      <c r="L21" s="6">
        <f t="shared" si="2"/>
        <v>2.6</v>
      </c>
      <c r="M21" s="6">
        <f t="shared" si="2"/>
        <v>2.6</v>
      </c>
      <c r="N21" s="6">
        <f t="shared" si="2"/>
        <v>2.6</v>
      </c>
      <c r="O21" s="6">
        <f t="shared" si="2"/>
        <v>2.5500000000000003</v>
      </c>
      <c r="P21" s="6">
        <f t="shared" si="2"/>
        <v>2.5500000000000003</v>
      </c>
    </row>
    <row r="22" spans="1:16" x14ac:dyDescent="0.2">
      <c r="B22" s="3">
        <v>100</v>
      </c>
      <c r="C22" s="3">
        <v>3.3000000000000002E-2</v>
      </c>
      <c r="D22" s="3">
        <v>3.3000000000000002E-2</v>
      </c>
      <c r="E22" s="3">
        <v>3.4000000000000002E-2</v>
      </c>
      <c r="F22" s="3">
        <v>3.4000000000000002E-2</v>
      </c>
      <c r="G22" s="3">
        <v>3.4000000000000002E-2</v>
      </c>
      <c r="H22" s="3">
        <v>3.5000000000000003E-2</v>
      </c>
      <c r="I22" s="3">
        <v>3.5000000000000003E-2</v>
      </c>
      <c r="J22" s="6">
        <f>FLOOR(($B22/1000)/C22,0.05)</f>
        <v>3</v>
      </c>
      <c r="K22" s="6">
        <f t="shared" si="2"/>
        <v>3</v>
      </c>
      <c r="L22" s="6">
        <f t="shared" si="2"/>
        <v>2.9000000000000004</v>
      </c>
      <c r="M22" s="6">
        <f t="shared" si="2"/>
        <v>2.9000000000000004</v>
      </c>
      <c r="N22" s="6">
        <f t="shared" si="2"/>
        <v>2.9000000000000004</v>
      </c>
      <c r="O22" s="6">
        <f t="shared" si="2"/>
        <v>2.85</v>
      </c>
      <c r="P22" s="6">
        <f t="shared" si="2"/>
        <v>2.85</v>
      </c>
    </row>
    <row r="23" spans="1:16" x14ac:dyDescent="0.2">
      <c r="C23" s="3"/>
      <c r="D23" s="3"/>
      <c r="E23" s="3"/>
      <c r="F23" s="3"/>
      <c r="G23" s="3"/>
      <c r="H23" s="3"/>
      <c r="I23" s="3"/>
    </row>
    <row r="24" spans="1:16" x14ac:dyDescent="0.2">
      <c r="G24" s="2">
        <f>FLOOR((0.04/0.034),0.05)</f>
        <v>1.1500000000000001</v>
      </c>
      <c r="I24" s="2">
        <f>FLOOR((0.05/0.035),0.05)</f>
        <v>1.4000000000000001</v>
      </c>
    </row>
    <row r="27" spans="1:16" ht="15.95" customHeight="1" x14ac:dyDescent="0.2">
      <c r="A27" t="s">
        <v>45</v>
      </c>
    </row>
    <row r="28" spans="1:16" ht="15.95" customHeight="1" x14ac:dyDescent="0.2">
      <c r="A28" t="s">
        <v>46</v>
      </c>
      <c r="H28" s="21" t="s">
        <v>145</v>
      </c>
      <c r="I28">
        <v>90</v>
      </c>
    </row>
    <row r="29" spans="1:16" ht="15.95" customHeight="1" x14ac:dyDescent="0.2">
      <c r="A29" t="s">
        <v>47</v>
      </c>
    </row>
    <row r="30" spans="1:16" ht="15.95" customHeight="1" x14ac:dyDescent="0.2">
      <c r="A30" t="s">
        <v>206</v>
      </c>
    </row>
    <row r="31" spans="1:16" ht="15.95" customHeight="1" x14ac:dyDescent="0.2">
      <c r="A31" t="s">
        <v>48</v>
      </c>
    </row>
    <row r="32" spans="1:16" ht="15.95" customHeight="1" x14ac:dyDescent="0.2">
      <c r="A32" t="s">
        <v>50</v>
      </c>
    </row>
    <row r="33" spans="1:12" ht="15.95" customHeight="1" x14ac:dyDescent="0.2">
      <c r="A33" t="s">
        <v>59</v>
      </c>
      <c r="H33" s="21" t="str">
        <f>IF(D50=9,"90 mm",IF(D50=11,"90 mm",IF(D50=13,"90 mm","140 mm")))</f>
        <v>140 mm</v>
      </c>
      <c r="I33" s="25">
        <f>IF(D50=9,90,IF(D50=11,90,IF(D50=13,90,140)))</f>
        <v>140</v>
      </c>
    </row>
    <row r="34" spans="1:12" ht="15.95" customHeight="1" x14ac:dyDescent="0.2">
      <c r="A34" t="s">
        <v>72</v>
      </c>
      <c r="E34" t="s">
        <v>98</v>
      </c>
    </row>
    <row r="35" spans="1:12" ht="15.95" customHeight="1" x14ac:dyDescent="0.2"/>
    <row r="36" spans="1:12" ht="15.95" customHeight="1" x14ac:dyDescent="0.2"/>
    <row r="37" spans="1:12" ht="15.95" customHeight="1" x14ac:dyDescent="0.2"/>
    <row r="39" spans="1:12" ht="23.25" x14ac:dyDescent="0.4">
      <c r="A39" s="11" t="s">
        <v>109</v>
      </c>
      <c r="B39" s="11"/>
      <c r="C39" s="12">
        <f>L63</f>
        <v>0.38732163696199096</v>
      </c>
      <c r="D39" s="11" t="s">
        <v>15</v>
      </c>
      <c r="E39" s="13"/>
    </row>
    <row r="40" spans="1:12" ht="23.25" x14ac:dyDescent="0.4">
      <c r="A40" s="11" t="s">
        <v>106</v>
      </c>
      <c r="B40" s="11"/>
      <c r="C40" s="12">
        <f>FLOOR(K49,0.05)</f>
        <v>2.1</v>
      </c>
      <c r="D40" s="11" t="s">
        <v>1</v>
      </c>
      <c r="E40" s="13"/>
    </row>
    <row r="41" spans="1:12" ht="23.25" x14ac:dyDescent="0.4">
      <c r="A41" s="11" t="s">
        <v>108</v>
      </c>
      <c r="B41" s="11"/>
      <c r="C41" s="12">
        <f>K64</f>
        <v>2.4118335578761716</v>
      </c>
      <c r="D41" s="11" t="s">
        <v>1</v>
      </c>
      <c r="E41" s="13"/>
    </row>
    <row r="43" spans="1:12" x14ac:dyDescent="0.2">
      <c r="A43" s="9"/>
      <c r="B43" s="9"/>
      <c r="C43" s="9"/>
      <c r="D43" s="53" t="s">
        <v>69</v>
      </c>
      <c r="E43" s="53"/>
      <c r="F43" s="53" t="s">
        <v>52</v>
      </c>
      <c r="G43" s="54" t="s">
        <v>53</v>
      </c>
      <c r="H43" s="53" t="s">
        <v>70</v>
      </c>
      <c r="I43" s="53" t="s">
        <v>65</v>
      </c>
      <c r="J43" s="53"/>
      <c r="K43" s="53" t="s">
        <v>71</v>
      </c>
      <c r="L43" s="53" t="s">
        <v>16</v>
      </c>
    </row>
    <row r="44" spans="1:12" x14ac:dyDescent="0.2">
      <c r="A44" s="9"/>
      <c r="B44" s="9"/>
      <c r="C44" s="9"/>
      <c r="D44" s="53"/>
      <c r="E44" s="53"/>
      <c r="F44" s="53" t="s">
        <v>83</v>
      </c>
      <c r="G44" s="53" t="s">
        <v>55</v>
      </c>
      <c r="H44" s="53"/>
      <c r="I44" s="53" t="s">
        <v>66</v>
      </c>
      <c r="J44" s="53"/>
      <c r="K44" s="53" t="s">
        <v>1</v>
      </c>
      <c r="L44" s="53" t="s">
        <v>15</v>
      </c>
    </row>
    <row r="45" spans="1:12" ht="15.75" x14ac:dyDescent="0.3">
      <c r="A45" s="9" t="s">
        <v>5</v>
      </c>
      <c r="B45" s="9"/>
      <c r="C45" s="9"/>
      <c r="D45" s="53"/>
      <c r="E45" s="53"/>
      <c r="F45" s="53"/>
      <c r="G45" s="53"/>
      <c r="H45" s="53"/>
      <c r="I45" s="53"/>
      <c r="J45" s="53"/>
      <c r="K45" s="55">
        <f>Geg!F36</f>
        <v>0.04</v>
      </c>
      <c r="L45" s="53"/>
    </row>
    <row r="46" spans="1:12" x14ac:dyDescent="0.2">
      <c r="A46" s="9" t="s">
        <v>78</v>
      </c>
      <c r="B46" s="9"/>
      <c r="C46" s="9"/>
      <c r="D46" s="53">
        <v>1</v>
      </c>
      <c r="E46" s="53">
        <v>1</v>
      </c>
      <c r="F46" s="53">
        <f>(VLOOKUP(E46,Geg!A43:D43,4)/1000)</f>
        <v>0.09</v>
      </c>
      <c r="G46" s="53">
        <f>VLOOKUP(E46,Geg!A43:F43,6)</f>
        <v>1.31</v>
      </c>
      <c r="H46" s="53"/>
      <c r="I46" s="53"/>
      <c r="J46" s="53"/>
      <c r="K46" s="56">
        <f>F46/G46</f>
        <v>6.8702290076335867E-2</v>
      </c>
      <c r="L46" s="53"/>
    </row>
    <row r="47" spans="1:12" x14ac:dyDescent="0.2">
      <c r="A47" s="9" t="s">
        <v>79</v>
      </c>
      <c r="B47" s="9"/>
      <c r="C47" s="9"/>
      <c r="D47" s="53">
        <v>3</v>
      </c>
      <c r="E47" s="53"/>
      <c r="F47" s="53"/>
      <c r="G47" s="53"/>
      <c r="H47" s="53"/>
      <c r="I47" s="53"/>
      <c r="J47" s="53"/>
      <c r="K47" s="57">
        <f>VLOOKUP(D47,Geg!A47:F49,6)</f>
        <v>0.09</v>
      </c>
      <c r="L47" s="53"/>
    </row>
    <row r="48" spans="1:12" x14ac:dyDescent="0.2">
      <c r="A48" s="9" t="s">
        <v>210</v>
      </c>
      <c r="B48" s="9"/>
      <c r="C48" s="9"/>
      <c r="D48" s="53">
        <v>2</v>
      </c>
      <c r="E48" s="53"/>
      <c r="F48" s="53"/>
      <c r="G48" s="53"/>
      <c r="H48" s="53"/>
      <c r="I48" s="53"/>
      <c r="J48" s="53"/>
      <c r="K48" s="57">
        <f>VLOOKUP(D48,Geg!A158:C159,3)</f>
        <v>0</v>
      </c>
      <c r="L48" s="53"/>
    </row>
    <row r="49" spans="1:14" x14ac:dyDescent="0.2">
      <c r="A49" s="9" t="s">
        <v>80</v>
      </c>
      <c r="B49" s="9"/>
      <c r="C49" s="9"/>
      <c r="D49" s="53">
        <v>11</v>
      </c>
      <c r="E49" s="53">
        <v>6</v>
      </c>
      <c r="F49" s="53">
        <f>VLOOKUP(E49,Geg!A103:C115,3)/1000</f>
        <v>0.06</v>
      </c>
      <c r="G49" s="59">
        <f>VLOOKUP(D49,Geg!A139:C154,3)</f>
        <v>2.8000000000000001E-2</v>
      </c>
      <c r="H49" s="53"/>
      <c r="I49" s="53"/>
      <c r="J49" s="53"/>
      <c r="K49" s="56">
        <f>F49/G49</f>
        <v>2.1428571428571428</v>
      </c>
      <c r="L49" s="53"/>
    </row>
    <row r="50" spans="1:14" x14ac:dyDescent="0.2">
      <c r="A50" s="9" t="s">
        <v>81</v>
      </c>
      <c r="B50" s="9"/>
      <c r="C50" s="9"/>
      <c r="D50" s="53">
        <v>14</v>
      </c>
      <c r="E50" s="53"/>
      <c r="F50" s="53">
        <f>VLOOKUP(D50,Geg!A53:D55,4)/1000</f>
        <v>0.14000000000000001</v>
      </c>
      <c r="G50" s="53">
        <f>VLOOKUP(D50,Geg!A53:E66,5)</f>
        <v>0.41</v>
      </c>
      <c r="H50" s="53"/>
      <c r="I50" s="53"/>
      <c r="J50" s="53"/>
      <c r="K50" s="56">
        <f>F50/G50</f>
        <v>0.34146341463414637</v>
      </c>
      <c r="L50" s="53"/>
    </row>
    <row r="51" spans="1:14" x14ac:dyDescent="0.2">
      <c r="A51" s="9" t="s">
        <v>82</v>
      </c>
      <c r="B51" s="9"/>
      <c r="C51" s="9"/>
      <c r="D51" s="53"/>
      <c r="E51" s="53">
        <v>2</v>
      </c>
      <c r="F51" s="53">
        <f>VLOOKUP(E51,Geg!A71:D73,4)/1000</f>
        <v>0.01</v>
      </c>
      <c r="G51" s="53">
        <f>VLOOKUP(E51,Geg!A71:F73,6)</f>
        <v>0.52</v>
      </c>
      <c r="H51" s="53"/>
      <c r="I51" s="53"/>
      <c r="J51" s="53"/>
      <c r="K51" s="56">
        <f>F51/G51</f>
        <v>1.9230769230769232E-2</v>
      </c>
      <c r="L51" s="53"/>
    </row>
    <row r="52" spans="1:14" ht="15.75" x14ac:dyDescent="0.3">
      <c r="A52" s="9" t="s">
        <v>3</v>
      </c>
      <c r="B52" s="9"/>
      <c r="C52" s="9"/>
      <c r="D52" s="53"/>
      <c r="E52" s="53"/>
      <c r="F52" s="53"/>
      <c r="G52" s="53"/>
      <c r="H52" s="53"/>
      <c r="I52" s="53"/>
      <c r="J52" s="53"/>
      <c r="K52" s="57">
        <f>Geg!F37</f>
        <v>0.13</v>
      </c>
      <c r="L52" s="53"/>
    </row>
    <row r="53" spans="1:14" ht="15.75" x14ac:dyDescent="0.3">
      <c r="A53" s="9" t="s">
        <v>19</v>
      </c>
      <c r="B53" s="9"/>
      <c r="C53" s="9"/>
      <c r="D53" s="53"/>
      <c r="E53" s="53"/>
      <c r="F53" s="53"/>
      <c r="G53" s="53"/>
      <c r="H53" s="53"/>
      <c r="I53" s="53"/>
      <c r="J53" s="53"/>
      <c r="K53" s="58">
        <f>Geg!E26</f>
        <v>-0.1</v>
      </c>
      <c r="L53" s="53"/>
    </row>
    <row r="54" spans="1:14" ht="15.75" x14ac:dyDescent="0.3">
      <c r="A54" s="9" t="s">
        <v>2</v>
      </c>
      <c r="B54" s="9"/>
      <c r="C54" s="9"/>
      <c r="D54" s="53"/>
      <c r="E54" s="53"/>
      <c r="F54" s="53"/>
      <c r="G54" s="53"/>
      <c r="H54" s="53"/>
      <c r="I54" s="53"/>
      <c r="J54" s="53"/>
      <c r="K54" s="59">
        <f>SUM(K45:K53)</f>
        <v>2.7322536167983937</v>
      </c>
      <c r="L54" s="53"/>
    </row>
    <row r="55" spans="1:14" x14ac:dyDescent="0.2">
      <c r="A55" s="9" t="s">
        <v>21</v>
      </c>
      <c r="B55" s="9"/>
      <c r="C55" s="9"/>
      <c r="D55" s="53"/>
      <c r="E55" s="53"/>
      <c r="F55" s="53"/>
      <c r="G55" s="53"/>
      <c r="H55" s="53"/>
      <c r="I55" s="53"/>
      <c r="J55" s="53"/>
      <c r="K55" s="53"/>
      <c r="L55" s="60">
        <f>1/K54</f>
        <v>0.36599823451667063</v>
      </c>
    </row>
    <row r="56" spans="1:14" x14ac:dyDescent="0.2">
      <c r="A56" s="10" t="s">
        <v>68</v>
      </c>
      <c r="B56" s="9"/>
      <c r="C56" s="9"/>
      <c r="D56" s="53"/>
      <c r="E56" s="53"/>
      <c r="F56" s="53"/>
      <c r="G56" s="53"/>
      <c r="H56" s="53"/>
      <c r="I56" s="53"/>
      <c r="J56" s="53">
        <f>Geg!E38</f>
        <v>0.8</v>
      </c>
      <c r="K56" s="53"/>
      <c r="L56" s="53"/>
    </row>
    <row r="57" spans="1:14" ht="15.75" x14ac:dyDescent="0.3">
      <c r="A57" s="10" t="s">
        <v>35</v>
      </c>
      <c r="B57" s="9"/>
      <c r="C57" s="9"/>
      <c r="D57" s="53">
        <v>3</v>
      </c>
      <c r="E57" s="53"/>
      <c r="F57" s="53"/>
      <c r="G57" s="53">
        <f>VLOOKUP(D57,Geg!A121:E125,5)</f>
        <v>50</v>
      </c>
      <c r="H57" s="53"/>
      <c r="I57" s="53"/>
      <c r="J57" s="53"/>
      <c r="K57" s="53"/>
      <c r="L57" s="53"/>
    </row>
    <row r="58" spans="1:14" ht="15.75" x14ac:dyDescent="0.3">
      <c r="A58" s="9" t="s">
        <v>36</v>
      </c>
      <c r="B58" s="9"/>
      <c r="C58" s="9"/>
      <c r="D58" s="53"/>
      <c r="E58" s="53"/>
      <c r="F58" s="53"/>
      <c r="G58" s="53" t="s">
        <v>97</v>
      </c>
      <c r="H58" s="53"/>
      <c r="I58" s="53">
        <f>VLOOKUP(D57,Geg!A121:F125,6)</f>
        <v>1.3000000000000001E-5</v>
      </c>
      <c r="J58" s="53"/>
      <c r="K58" s="53"/>
      <c r="L58" s="53"/>
    </row>
    <row r="59" spans="1:14" ht="15.75" x14ac:dyDescent="0.3">
      <c r="A59" s="9" t="s">
        <v>37</v>
      </c>
      <c r="B59" s="9"/>
      <c r="C59" s="9"/>
      <c r="D59" s="53">
        <v>4</v>
      </c>
      <c r="E59" s="53"/>
      <c r="F59" s="53"/>
      <c r="G59" s="53"/>
      <c r="H59" s="53">
        <f>VLOOKUP(D59,Geg!A128:B134,2)</f>
        <v>4</v>
      </c>
      <c r="I59" s="53"/>
      <c r="J59" s="53"/>
      <c r="K59" s="53"/>
      <c r="L59" s="53"/>
    </row>
    <row r="60" spans="1:14" ht="15.75" x14ac:dyDescent="0.3">
      <c r="A60" s="9" t="s">
        <v>38</v>
      </c>
      <c r="B60" s="9"/>
      <c r="C60" s="9"/>
      <c r="D60" s="53"/>
      <c r="E60" s="53"/>
      <c r="F60" s="53">
        <f>F49</f>
        <v>0.06</v>
      </c>
      <c r="G60" s="53"/>
      <c r="H60" s="53"/>
      <c r="I60" s="53"/>
      <c r="J60" s="53"/>
      <c r="K60" s="53"/>
      <c r="L60" s="53"/>
    </row>
    <row r="61" spans="1:14" ht="15.75" x14ac:dyDescent="0.3">
      <c r="A61" s="10" t="s">
        <v>22</v>
      </c>
      <c r="B61" s="9"/>
      <c r="C61" s="9"/>
      <c r="D61" s="53"/>
      <c r="E61" s="53"/>
      <c r="F61" s="53"/>
      <c r="G61" s="53"/>
      <c r="H61" s="53"/>
      <c r="I61" s="53"/>
      <c r="J61" s="53"/>
      <c r="K61" s="53"/>
      <c r="L61" s="53">
        <f>Geg!E39</f>
        <v>0</v>
      </c>
    </row>
    <row r="62" spans="1:14" ht="15.75" x14ac:dyDescent="0.3">
      <c r="A62" s="10" t="s">
        <v>23</v>
      </c>
      <c r="B62" s="10" t="s">
        <v>33</v>
      </c>
      <c r="C62" s="9"/>
      <c r="D62" s="53"/>
      <c r="E62" s="53"/>
      <c r="F62" s="53"/>
      <c r="G62" s="53"/>
      <c r="H62" s="53"/>
      <c r="I62" s="53"/>
      <c r="J62" s="53"/>
      <c r="K62" s="53"/>
      <c r="L62" s="62">
        <f>(J56*(G57*I58*H59)/F60)*(K49/K54)*(K49/K54)</f>
        <v>2.13234024453203E-2</v>
      </c>
      <c r="N62">
        <f>0.06*50*5*0.000013</f>
        <v>1.95E-4</v>
      </c>
    </row>
    <row r="63" spans="1:14" ht="15.75" x14ac:dyDescent="0.3">
      <c r="A63" s="9" t="s">
        <v>20</v>
      </c>
      <c r="B63" s="9"/>
      <c r="C63" s="9"/>
      <c r="D63" s="53"/>
      <c r="E63" s="53"/>
      <c r="F63" s="53"/>
      <c r="G63" s="53"/>
      <c r="H63" s="53"/>
      <c r="I63" s="53"/>
      <c r="J63" s="53"/>
      <c r="K63" s="53"/>
      <c r="L63" s="60">
        <f>L55+L61+L62</f>
        <v>0.38732163696199096</v>
      </c>
    </row>
    <row r="64" spans="1:14" ht="15.75" x14ac:dyDescent="0.3">
      <c r="A64" s="9" t="s">
        <v>84</v>
      </c>
      <c r="B64" s="9"/>
      <c r="C64" s="9"/>
      <c r="D64" s="53"/>
      <c r="E64" s="53"/>
      <c r="F64" s="53"/>
      <c r="G64" s="53"/>
      <c r="H64" s="53"/>
      <c r="I64" s="53"/>
      <c r="J64" s="53"/>
      <c r="K64" s="60">
        <f>1/L63-(K45+K52)</f>
        <v>2.4118335578761716</v>
      </c>
      <c r="L64" s="53"/>
    </row>
  </sheetData>
  <sheetProtection algorithmName="SHA-512" hashValue="iuQEyUevjb1R7ptpSFzdpxpqcq+O6afqxnyDWRQxRut2ikwNrmg1HCh+zooIgeq1RFIEGz+Z9senKtnSWtikmw==" saltValue="uGpqxEBLGB/+2aD5i4yhfw==" spinCount="100000" sheet="1" objects="1" scenarios="1"/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K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6</xdr:col>
                    <xdr:colOff>942975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6</xdr:col>
                    <xdr:colOff>942975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6</xdr:col>
                    <xdr:colOff>942975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Drop Down 5">
              <controlPr defaultSize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6</xdr:col>
                    <xdr:colOff>942975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Drop Down 6">
              <controlPr defaultSize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6</xdr:col>
                    <xdr:colOff>942975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Drop Down 8">
              <controlPr defaultSize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Drop Down 9">
              <controlPr defaultSize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Drop Down 11">
              <controlPr defaultSize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8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Drop Down 12">
              <controlPr defaultSize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6</xdr:col>
                    <xdr:colOff>942975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3:G15"/>
  <sheetViews>
    <sheetView windowProtection="1" workbookViewId="0"/>
  </sheetViews>
  <sheetFormatPr defaultRowHeight="12.75" x14ac:dyDescent="0.2"/>
  <cols>
    <col min="3" max="3" width="21.42578125" customWidth="1"/>
    <col min="7" max="7" width="9.5703125" bestFit="1" customWidth="1"/>
  </cols>
  <sheetData>
    <row r="3" spans="2:7" x14ac:dyDescent="0.2">
      <c r="E3" s="1" t="s">
        <v>53</v>
      </c>
      <c r="F3" t="s">
        <v>52</v>
      </c>
      <c r="G3" t="s">
        <v>71</v>
      </c>
    </row>
    <row r="4" spans="2:7" ht="15.75" x14ac:dyDescent="0.3">
      <c r="B4" t="s">
        <v>77</v>
      </c>
      <c r="G4">
        <v>0.13</v>
      </c>
    </row>
    <row r="5" spans="2:7" ht="15.75" x14ac:dyDescent="0.3">
      <c r="B5" t="s">
        <v>77</v>
      </c>
      <c r="G5">
        <v>0.04</v>
      </c>
    </row>
    <row r="6" spans="2:7" x14ac:dyDescent="0.2">
      <c r="B6" t="s">
        <v>46</v>
      </c>
      <c r="E6">
        <v>1.31</v>
      </c>
      <c r="F6">
        <v>0.09</v>
      </c>
      <c r="G6" s="77">
        <f>F6/E6</f>
        <v>6.8702290076335867E-2</v>
      </c>
    </row>
    <row r="7" spans="2:7" x14ac:dyDescent="0.2">
      <c r="B7" t="s">
        <v>196</v>
      </c>
      <c r="G7">
        <v>0.09</v>
      </c>
    </row>
    <row r="8" spans="2:7" x14ac:dyDescent="0.2">
      <c r="B8" t="s">
        <v>48</v>
      </c>
    </row>
    <row r="9" spans="2:7" x14ac:dyDescent="0.2">
      <c r="B9" t="s">
        <v>59</v>
      </c>
      <c r="E9">
        <v>0.41</v>
      </c>
      <c r="F9">
        <v>0.14000000000000001</v>
      </c>
      <c r="G9" s="77">
        <f>F9/E9</f>
        <v>0.34146341463414637</v>
      </c>
    </row>
    <row r="10" spans="2:7" x14ac:dyDescent="0.2">
      <c r="B10" t="s">
        <v>98</v>
      </c>
      <c r="E10">
        <v>0.52</v>
      </c>
      <c r="F10">
        <v>0.01</v>
      </c>
      <c r="G10" s="77">
        <f>F10/E10</f>
        <v>1.9230769230769232E-2</v>
      </c>
    </row>
    <row r="14" spans="2:7" x14ac:dyDescent="0.2">
      <c r="B14" t="s">
        <v>197</v>
      </c>
      <c r="D14" t="s">
        <v>198</v>
      </c>
    </row>
    <row r="15" spans="2:7" x14ac:dyDescent="0.2">
      <c r="B15" t="s">
        <v>238</v>
      </c>
    </row>
  </sheetData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28"/>
  <sheetViews>
    <sheetView windowProtection="1" workbookViewId="0"/>
  </sheetViews>
  <sheetFormatPr defaultRowHeight="12.75" x14ac:dyDescent="0.2"/>
  <sheetData>
    <row r="1" spans="1:5" ht="14.25" x14ac:dyDescent="0.2">
      <c r="A1" t="s">
        <v>228</v>
      </c>
    </row>
    <row r="4" spans="1:5" ht="15.75" x14ac:dyDescent="0.3">
      <c r="A4" t="s">
        <v>30</v>
      </c>
      <c r="B4" t="s">
        <v>229</v>
      </c>
    </row>
    <row r="6" spans="1:5" x14ac:dyDescent="0.2">
      <c r="A6" t="s">
        <v>230</v>
      </c>
      <c r="B6" t="s">
        <v>231</v>
      </c>
      <c r="C6" t="s">
        <v>232</v>
      </c>
      <c r="D6" t="s">
        <v>233</v>
      </c>
      <c r="E6" t="s">
        <v>234</v>
      </c>
    </row>
    <row r="8" spans="1:5" x14ac:dyDescent="0.2">
      <c r="A8">
        <v>40</v>
      </c>
      <c r="C8" s="2">
        <f t="shared" ref="C8:C13" si="0">FLOOR((A8/1000)/0.031,0.05)</f>
        <v>1.25</v>
      </c>
      <c r="D8" s="2">
        <f>FLOOR((A8/1000)/0.034,0.05)</f>
        <v>1.1500000000000001</v>
      </c>
      <c r="E8" s="2">
        <f t="shared" ref="E8:E13" si="1">FLOOR((A8/1000)/0.035,0.05)</f>
        <v>1.1000000000000001</v>
      </c>
    </row>
    <row r="9" spans="1:5" x14ac:dyDescent="0.2">
      <c r="A9">
        <v>50</v>
      </c>
      <c r="C9" s="2">
        <f t="shared" si="0"/>
        <v>1.6</v>
      </c>
      <c r="D9" s="2">
        <f>FLOOR((A9/1000)/0.034,0.05)</f>
        <v>1.4500000000000002</v>
      </c>
      <c r="E9" s="2">
        <f t="shared" si="1"/>
        <v>1.4000000000000001</v>
      </c>
    </row>
    <row r="10" spans="1:5" x14ac:dyDescent="0.2">
      <c r="A10">
        <v>60</v>
      </c>
      <c r="C10" s="2">
        <f t="shared" si="0"/>
        <v>1.9000000000000001</v>
      </c>
      <c r="D10" s="2">
        <f>FLOOR((A10/1000)/0.036,0.05)</f>
        <v>1.6500000000000001</v>
      </c>
      <c r="E10" s="2">
        <f t="shared" si="1"/>
        <v>1.7000000000000002</v>
      </c>
    </row>
    <row r="11" spans="1:5" x14ac:dyDescent="0.2">
      <c r="A11">
        <v>79</v>
      </c>
      <c r="C11" s="2">
        <f t="shared" si="0"/>
        <v>2.5</v>
      </c>
      <c r="D11" s="2">
        <f>FLOOR((A11/1000)/0.036,0.05)</f>
        <v>2.15</v>
      </c>
      <c r="E11" s="2">
        <f t="shared" si="1"/>
        <v>2.25</v>
      </c>
    </row>
    <row r="12" spans="1:5" x14ac:dyDescent="0.2">
      <c r="A12">
        <v>93</v>
      </c>
      <c r="C12" s="2">
        <f t="shared" si="0"/>
        <v>3</v>
      </c>
      <c r="D12" s="2">
        <f>FLOOR((A12/1000)/0.036,0.05)</f>
        <v>2.5500000000000003</v>
      </c>
      <c r="E12" s="2">
        <f t="shared" si="1"/>
        <v>2.6500000000000004</v>
      </c>
    </row>
    <row r="13" spans="1:5" x14ac:dyDescent="0.2">
      <c r="A13">
        <v>109</v>
      </c>
      <c r="C13" s="2">
        <f t="shared" si="0"/>
        <v>3.5</v>
      </c>
      <c r="D13" s="2">
        <f>FLOOR((A13/1000)/0.036,0.05)</f>
        <v>3</v>
      </c>
      <c r="E13" s="2">
        <f t="shared" si="1"/>
        <v>3.1</v>
      </c>
    </row>
    <row r="15" spans="1:5" x14ac:dyDescent="0.2">
      <c r="A15" t="s">
        <v>241</v>
      </c>
    </row>
    <row r="17" spans="1:5" ht="15.75" x14ac:dyDescent="0.3">
      <c r="A17" t="s">
        <v>236</v>
      </c>
      <c r="B17" t="s">
        <v>235</v>
      </c>
    </row>
    <row r="19" spans="1:5" x14ac:dyDescent="0.2">
      <c r="A19" t="s">
        <v>230</v>
      </c>
      <c r="B19" t="s">
        <v>231</v>
      </c>
      <c r="C19" t="s">
        <v>232</v>
      </c>
      <c r="D19" t="s">
        <v>233</v>
      </c>
      <c r="E19" t="s">
        <v>234</v>
      </c>
    </row>
    <row r="21" spans="1:5" x14ac:dyDescent="0.2">
      <c r="A21">
        <v>40</v>
      </c>
      <c r="C21" s="2">
        <v>0.56000000000000005</v>
      </c>
      <c r="D21" s="2">
        <v>0.59</v>
      </c>
      <c r="E21" s="2">
        <v>0.6</v>
      </c>
    </row>
    <row r="22" spans="1:5" x14ac:dyDescent="0.2">
      <c r="A22">
        <v>50</v>
      </c>
      <c r="C22" s="2">
        <v>0.48</v>
      </c>
      <c r="D22" s="2">
        <v>0.51</v>
      </c>
      <c r="E22" s="2">
        <v>0.52</v>
      </c>
    </row>
    <row r="23" spans="1:5" x14ac:dyDescent="0.2">
      <c r="A23">
        <v>60</v>
      </c>
      <c r="C23" s="2">
        <v>0.42</v>
      </c>
      <c r="D23" s="2">
        <v>0.45</v>
      </c>
      <c r="E23" s="2">
        <v>0.45</v>
      </c>
    </row>
    <row r="24" spans="1:5" x14ac:dyDescent="0.2">
      <c r="A24">
        <v>79</v>
      </c>
      <c r="C24" s="2">
        <v>0.34</v>
      </c>
      <c r="D24" s="2">
        <v>0.37</v>
      </c>
      <c r="E24" s="2">
        <v>0.37</v>
      </c>
    </row>
    <row r="25" spans="1:5" x14ac:dyDescent="0.2">
      <c r="A25">
        <v>93</v>
      </c>
      <c r="C25" s="2">
        <v>0.28999999999999998</v>
      </c>
      <c r="D25" s="2">
        <v>0.32</v>
      </c>
      <c r="E25" s="2">
        <v>0.32</v>
      </c>
    </row>
    <row r="26" spans="1:5" x14ac:dyDescent="0.2">
      <c r="A26">
        <v>109</v>
      </c>
      <c r="C26" s="2">
        <v>0.26</v>
      </c>
      <c r="D26" s="2">
        <v>0.3</v>
      </c>
      <c r="E26" s="2">
        <v>0.3</v>
      </c>
    </row>
    <row r="28" spans="1:5" x14ac:dyDescent="0.2">
      <c r="A28" t="s">
        <v>237</v>
      </c>
    </row>
  </sheetData>
  <phoneticPr fontId="13" type="noConversion"/>
  <pageMargins left="0.75" right="0.75" top="1" bottom="1" header="0.5" footer="0.5"/>
  <pageSetup paperSize="9" orientation="portrait" r:id="rId1"/>
  <headerFooter alignWithMargins="0"/>
  <ignoredErrors>
    <ignoredError sqref="D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CH283"/>
  <sheetViews>
    <sheetView windowProtection="1" workbookViewId="0"/>
  </sheetViews>
  <sheetFormatPr defaultRowHeight="12.75" x14ac:dyDescent="0.2"/>
  <cols>
    <col min="1" max="1" width="27" customWidth="1"/>
    <col min="6" max="6" width="27.28515625" customWidth="1"/>
    <col min="11" max="11" width="27.42578125" customWidth="1"/>
    <col min="16" max="16" width="27.42578125" customWidth="1"/>
    <col min="21" max="21" width="27.42578125" customWidth="1"/>
    <col min="26" max="26" width="27.5703125" customWidth="1"/>
    <col min="31" max="31" width="27.85546875" customWidth="1"/>
    <col min="36" max="36" width="27.7109375" customWidth="1"/>
    <col min="41" max="41" width="27.5703125" customWidth="1"/>
    <col min="46" max="46" width="27.42578125" customWidth="1"/>
    <col min="51" max="51" width="27.7109375" customWidth="1"/>
    <col min="56" max="56" width="27.85546875" customWidth="1"/>
    <col min="61" max="61" width="27.28515625" customWidth="1"/>
    <col min="66" max="66" width="27.28515625" customWidth="1"/>
    <col min="71" max="71" width="27.85546875" customWidth="1"/>
    <col min="76" max="76" width="27.85546875" customWidth="1"/>
  </cols>
  <sheetData>
    <row r="2" spans="1:5" x14ac:dyDescent="0.2">
      <c r="A2" s="9" t="s">
        <v>223</v>
      </c>
      <c r="B2" s="9"/>
      <c r="C2" s="9"/>
      <c r="D2" s="9"/>
    </row>
    <row r="3" spans="1:5" x14ac:dyDescent="0.2">
      <c r="A3" s="80"/>
      <c r="B3" s="81" t="s">
        <v>52</v>
      </c>
      <c r="C3" s="82" t="s">
        <v>53</v>
      </c>
      <c r="D3" s="83" t="s">
        <v>71</v>
      </c>
      <c r="E3" s="3"/>
    </row>
    <row r="4" spans="1:5" x14ac:dyDescent="0.2">
      <c r="A4" s="84"/>
      <c r="B4" s="85" t="s">
        <v>54</v>
      </c>
      <c r="C4" s="85" t="s">
        <v>55</v>
      </c>
      <c r="D4" s="86" t="s">
        <v>1</v>
      </c>
      <c r="E4" s="3"/>
    </row>
    <row r="5" spans="1:5" x14ac:dyDescent="0.2">
      <c r="A5" s="84" t="s">
        <v>214</v>
      </c>
      <c r="B5" s="85"/>
      <c r="C5" s="85"/>
      <c r="D5" s="86">
        <v>0.13</v>
      </c>
      <c r="E5" s="3"/>
    </row>
    <row r="6" spans="1:5" x14ac:dyDescent="0.2">
      <c r="A6" s="84" t="s">
        <v>215</v>
      </c>
      <c r="B6" s="85"/>
      <c r="C6" s="85">
        <v>0.13</v>
      </c>
      <c r="D6" s="86">
        <f>(B6/1000)/C6</f>
        <v>0</v>
      </c>
      <c r="E6" s="3"/>
    </row>
    <row r="7" spans="1:5" x14ac:dyDescent="0.2">
      <c r="A7" s="84" t="s">
        <v>216</v>
      </c>
      <c r="B7" s="85"/>
      <c r="C7" s="85">
        <v>3.1E-2</v>
      </c>
      <c r="D7" s="86">
        <f>(B7/1000)/C7</f>
        <v>0</v>
      </c>
      <c r="E7" s="3"/>
    </row>
    <row r="8" spans="1:5" x14ac:dyDescent="0.2">
      <c r="A8" s="84" t="s">
        <v>217</v>
      </c>
      <c r="B8" s="85"/>
      <c r="C8" s="85"/>
      <c r="D8" s="86">
        <v>0</v>
      </c>
      <c r="E8" s="3"/>
    </row>
    <row r="9" spans="1:5" x14ac:dyDescent="0.2">
      <c r="A9" s="84" t="s">
        <v>222</v>
      </c>
      <c r="B9" s="85"/>
      <c r="C9" s="85"/>
      <c r="D9" s="86">
        <v>0.09</v>
      </c>
      <c r="E9" s="3"/>
    </row>
    <row r="10" spans="1:5" x14ac:dyDescent="0.2">
      <c r="A10" s="84" t="s">
        <v>218</v>
      </c>
      <c r="B10" s="85">
        <v>90</v>
      </c>
      <c r="C10" s="85">
        <v>1.31</v>
      </c>
      <c r="D10" s="86">
        <f>(B10/1000)/C10</f>
        <v>6.8702290076335867E-2</v>
      </c>
      <c r="E10" s="3"/>
    </row>
    <row r="11" spans="1:5" x14ac:dyDescent="0.2">
      <c r="A11" s="84" t="s">
        <v>219</v>
      </c>
      <c r="B11" s="85"/>
      <c r="C11" s="85"/>
      <c r="D11" s="86">
        <v>0.04</v>
      </c>
      <c r="E11" s="3"/>
    </row>
    <row r="12" spans="1:5" x14ac:dyDescent="0.2">
      <c r="A12" s="84"/>
      <c r="B12" s="85"/>
      <c r="C12" s="85"/>
      <c r="D12" s="86"/>
      <c r="E12" s="3"/>
    </row>
    <row r="13" spans="1:5" x14ac:dyDescent="0.2">
      <c r="A13" s="84" t="s">
        <v>220</v>
      </c>
      <c r="B13" s="85"/>
      <c r="C13" s="85"/>
      <c r="D13" s="86">
        <v>-0.1</v>
      </c>
      <c r="E13" s="3"/>
    </row>
    <row r="14" spans="1:5" x14ac:dyDescent="0.2">
      <c r="A14" s="84"/>
      <c r="B14" s="85"/>
      <c r="C14" s="85"/>
      <c r="D14" s="86"/>
      <c r="E14" s="3"/>
    </row>
    <row r="15" spans="1:5" ht="18.75" x14ac:dyDescent="0.35">
      <c r="A15" s="87" t="s">
        <v>221</v>
      </c>
      <c r="B15" s="88"/>
      <c r="C15" s="88"/>
      <c r="D15" s="138">
        <f>FLOOR(SUM(D5:D13),0.05)</f>
        <v>0.2</v>
      </c>
      <c r="E15" s="3"/>
    </row>
    <row r="16" spans="1:5" ht="15.75" x14ac:dyDescent="0.25">
      <c r="A16" s="90"/>
      <c r="B16" s="91"/>
      <c r="C16" s="91"/>
      <c r="D16" s="91"/>
      <c r="E16" s="3"/>
    </row>
    <row r="17" spans="1:79" ht="24" customHeight="1" x14ac:dyDescent="0.25">
      <c r="A17" s="100" t="s">
        <v>224</v>
      </c>
      <c r="B17" s="101"/>
      <c r="C17" s="101"/>
      <c r="D17" s="101"/>
      <c r="E17" s="102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U17" s="124" t="s">
        <v>225</v>
      </c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O17" s="125" t="s">
        <v>226</v>
      </c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I17" s="127" t="s">
        <v>227</v>
      </c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</row>
    <row r="18" spans="1:79" x14ac:dyDescent="0.2">
      <c r="A18" s="103"/>
      <c r="B18" s="102"/>
      <c r="C18" s="102"/>
      <c r="D18" s="102"/>
      <c r="E18" s="102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126"/>
      <c r="BD18" s="92"/>
      <c r="BE18" s="92"/>
      <c r="BF18" s="92"/>
      <c r="BG18" s="92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</row>
    <row r="19" spans="1:79" x14ac:dyDescent="0.2">
      <c r="A19" s="104"/>
      <c r="B19" s="105" t="s">
        <v>52</v>
      </c>
      <c r="C19" s="106" t="s">
        <v>53</v>
      </c>
      <c r="D19" s="107" t="s">
        <v>71</v>
      </c>
      <c r="E19" s="103"/>
      <c r="F19" s="104"/>
      <c r="G19" s="105" t="s">
        <v>52</v>
      </c>
      <c r="H19" s="106" t="s">
        <v>53</v>
      </c>
      <c r="I19" s="107" t="s">
        <v>71</v>
      </c>
      <c r="J19" s="103"/>
      <c r="K19" s="104"/>
      <c r="L19" s="105" t="s">
        <v>52</v>
      </c>
      <c r="M19" s="106" t="s">
        <v>53</v>
      </c>
      <c r="N19" s="107" t="s">
        <v>71</v>
      </c>
      <c r="O19" s="103"/>
      <c r="P19" s="104"/>
      <c r="Q19" s="105" t="s">
        <v>52</v>
      </c>
      <c r="R19" s="106" t="s">
        <v>53</v>
      </c>
      <c r="S19" s="107" t="s">
        <v>71</v>
      </c>
      <c r="U19" s="115"/>
      <c r="V19" s="116" t="s">
        <v>52</v>
      </c>
      <c r="W19" s="117" t="s">
        <v>53</v>
      </c>
      <c r="X19" s="118" t="s">
        <v>71</v>
      </c>
      <c r="Y19" s="114"/>
      <c r="Z19" s="115"/>
      <c r="AA19" s="116" t="s">
        <v>52</v>
      </c>
      <c r="AB19" s="117" t="s">
        <v>53</v>
      </c>
      <c r="AC19" s="118" t="s">
        <v>71</v>
      </c>
      <c r="AD19" s="114"/>
      <c r="AE19" s="115"/>
      <c r="AF19" s="116" t="s">
        <v>52</v>
      </c>
      <c r="AG19" s="117" t="s">
        <v>53</v>
      </c>
      <c r="AH19" s="118" t="s">
        <v>71</v>
      </c>
      <c r="AI19" s="114"/>
      <c r="AJ19" s="115"/>
      <c r="AK19" s="116" t="s">
        <v>52</v>
      </c>
      <c r="AL19" s="117" t="s">
        <v>53</v>
      </c>
      <c r="AM19" s="118" t="s">
        <v>71</v>
      </c>
      <c r="AO19" s="93"/>
      <c r="AP19" s="94" t="s">
        <v>52</v>
      </c>
      <c r="AQ19" s="95" t="s">
        <v>53</v>
      </c>
      <c r="AR19" s="96" t="s">
        <v>71</v>
      </c>
      <c r="AS19" s="98"/>
      <c r="AT19" s="93"/>
      <c r="AU19" s="94" t="s">
        <v>52</v>
      </c>
      <c r="AV19" s="95" t="s">
        <v>53</v>
      </c>
      <c r="AW19" s="96" t="s">
        <v>71</v>
      </c>
      <c r="AX19" s="98"/>
      <c r="AY19" s="93"/>
      <c r="AZ19" s="94" t="s">
        <v>52</v>
      </c>
      <c r="BA19" s="95" t="s">
        <v>53</v>
      </c>
      <c r="BB19" s="96" t="s">
        <v>71</v>
      </c>
      <c r="BC19" s="98"/>
      <c r="BD19" s="93"/>
      <c r="BE19" s="94" t="s">
        <v>52</v>
      </c>
      <c r="BF19" s="95" t="s">
        <v>53</v>
      </c>
      <c r="BG19" s="96" t="s">
        <v>71</v>
      </c>
      <c r="BI19" s="129"/>
      <c r="BJ19" s="130" t="s">
        <v>52</v>
      </c>
      <c r="BK19" s="131" t="s">
        <v>53</v>
      </c>
      <c r="BL19" s="132" t="s">
        <v>71</v>
      </c>
      <c r="BM19" s="128"/>
      <c r="BN19" s="129"/>
      <c r="BO19" s="130" t="s">
        <v>52</v>
      </c>
      <c r="BP19" s="131" t="s">
        <v>53</v>
      </c>
      <c r="BQ19" s="132" t="s">
        <v>71</v>
      </c>
      <c r="BR19" s="128"/>
      <c r="BS19" s="129"/>
      <c r="BT19" s="130" t="s">
        <v>52</v>
      </c>
      <c r="BU19" s="131" t="s">
        <v>53</v>
      </c>
      <c r="BV19" s="132" t="s">
        <v>71</v>
      </c>
      <c r="BW19" s="128"/>
      <c r="BX19" s="129"/>
      <c r="BY19" s="130" t="s">
        <v>52</v>
      </c>
      <c r="BZ19" s="131" t="s">
        <v>53</v>
      </c>
      <c r="CA19" s="132" t="s">
        <v>71</v>
      </c>
    </row>
    <row r="20" spans="1:79" x14ac:dyDescent="0.2">
      <c r="A20" s="108"/>
      <c r="B20" s="109" t="s">
        <v>54</v>
      </c>
      <c r="C20" s="109" t="s">
        <v>55</v>
      </c>
      <c r="D20" s="110" t="s">
        <v>1</v>
      </c>
      <c r="E20" s="103"/>
      <c r="F20" s="108"/>
      <c r="G20" s="109" t="s">
        <v>54</v>
      </c>
      <c r="H20" s="109" t="s">
        <v>55</v>
      </c>
      <c r="I20" s="110" t="s">
        <v>1</v>
      </c>
      <c r="J20" s="103"/>
      <c r="K20" s="108"/>
      <c r="L20" s="109" t="s">
        <v>54</v>
      </c>
      <c r="M20" s="109" t="s">
        <v>55</v>
      </c>
      <c r="N20" s="110" t="s">
        <v>1</v>
      </c>
      <c r="O20" s="103"/>
      <c r="P20" s="108"/>
      <c r="Q20" s="109" t="s">
        <v>54</v>
      </c>
      <c r="R20" s="109" t="s">
        <v>55</v>
      </c>
      <c r="S20" s="110" t="s">
        <v>1</v>
      </c>
      <c r="U20" s="119"/>
      <c r="V20" s="120" t="s">
        <v>54</v>
      </c>
      <c r="W20" s="120" t="s">
        <v>55</v>
      </c>
      <c r="X20" s="121" t="s">
        <v>1</v>
      </c>
      <c r="Y20" s="114"/>
      <c r="Z20" s="119"/>
      <c r="AA20" s="120" t="s">
        <v>54</v>
      </c>
      <c r="AB20" s="120" t="s">
        <v>55</v>
      </c>
      <c r="AC20" s="121" t="s">
        <v>1</v>
      </c>
      <c r="AD20" s="114"/>
      <c r="AE20" s="119"/>
      <c r="AF20" s="120" t="s">
        <v>54</v>
      </c>
      <c r="AG20" s="120" t="s">
        <v>55</v>
      </c>
      <c r="AH20" s="121" t="s">
        <v>1</v>
      </c>
      <c r="AI20" s="114"/>
      <c r="AJ20" s="119"/>
      <c r="AK20" s="120" t="s">
        <v>54</v>
      </c>
      <c r="AL20" s="120" t="s">
        <v>55</v>
      </c>
      <c r="AM20" s="121" t="s">
        <v>1</v>
      </c>
      <c r="AO20" s="97"/>
      <c r="AP20" s="98" t="s">
        <v>54</v>
      </c>
      <c r="AQ20" s="98" t="s">
        <v>55</v>
      </c>
      <c r="AR20" s="99" t="s">
        <v>1</v>
      </c>
      <c r="AS20" s="98"/>
      <c r="AT20" s="97"/>
      <c r="AU20" s="98" t="s">
        <v>54</v>
      </c>
      <c r="AV20" s="98" t="s">
        <v>55</v>
      </c>
      <c r="AW20" s="99" t="s">
        <v>1</v>
      </c>
      <c r="AX20" s="98"/>
      <c r="AY20" s="97"/>
      <c r="AZ20" s="98" t="s">
        <v>54</v>
      </c>
      <c r="BA20" s="98" t="s">
        <v>55</v>
      </c>
      <c r="BB20" s="99" t="s">
        <v>1</v>
      </c>
      <c r="BC20" s="98"/>
      <c r="BD20" s="97"/>
      <c r="BE20" s="98" t="s">
        <v>54</v>
      </c>
      <c r="BF20" s="98" t="s">
        <v>55</v>
      </c>
      <c r="BG20" s="99" t="s">
        <v>1</v>
      </c>
      <c r="BI20" s="133"/>
      <c r="BJ20" s="134" t="s">
        <v>54</v>
      </c>
      <c r="BK20" s="134" t="s">
        <v>55</v>
      </c>
      <c r="BL20" s="135" t="s">
        <v>1</v>
      </c>
      <c r="BM20" s="128"/>
      <c r="BN20" s="133"/>
      <c r="BO20" s="134" t="s">
        <v>54</v>
      </c>
      <c r="BP20" s="134" t="s">
        <v>55</v>
      </c>
      <c r="BQ20" s="135" t="s">
        <v>1</v>
      </c>
      <c r="BR20" s="128"/>
      <c r="BS20" s="133"/>
      <c r="BT20" s="134" t="s">
        <v>54</v>
      </c>
      <c r="BU20" s="134" t="s">
        <v>55</v>
      </c>
      <c r="BV20" s="135" t="s">
        <v>1</v>
      </c>
      <c r="BW20" s="128"/>
      <c r="BX20" s="133"/>
      <c r="BY20" s="134" t="s">
        <v>54</v>
      </c>
      <c r="BZ20" s="134" t="s">
        <v>55</v>
      </c>
      <c r="CA20" s="135" t="s">
        <v>1</v>
      </c>
    </row>
    <row r="21" spans="1:79" x14ac:dyDescent="0.2">
      <c r="A21" s="108" t="s">
        <v>214</v>
      </c>
      <c r="B21" s="109"/>
      <c r="C21" s="109"/>
      <c r="D21" s="110">
        <v>0.13</v>
      </c>
      <c r="E21" s="103"/>
      <c r="F21" s="108" t="s">
        <v>214</v>
      </c>
      <c r="G21" s="109"/>
      <c r="H21" s="109"/>
      <c r="I21" s="110">
        <v>0.13</v>
      </c>
      <c r="J21" s="103"/>
      <c r="K21" s="108" t="s">
        <v>214</v>
      </c>
      <c r="L21" s="109"/>
      <c r="M21" s="109"/>
      <c r="N21" s="110">
        <v>0.13</v>
      </c>
      <c r="O21" s="103"/>
      <c r="P21" s="108" t="s">
        <v>214</v>
      </c>
      <c r="Q21" s="109"/>
      <c r="R21" s="109"/>
      <c r="S21" s="110">
        <v>0.13</v>
      </c>
      <c r="U21" s="119" t="s">
        <v>214</v>
      </c>
      <c r="V21" s="120"/>
      <c r="W21" s="120"/>
      <c r="X21" s="121">
        <v>0.13</v>
      </c>
      <c r="Y21" s="114"/>
      <c r="Z21" s="119" t="s">
        <v>214</v>
      </c>
      <c r="AA21" s="120"/>
      <c r="AB21" s="120"/>
      <c r="AC21" s="121">
        <v>0.13</v>
      </c>
      <c r="AD21" s="114"/>
      <c r="AE21" s="119" t="s">
        <v>214</v>
      </c>
      <c r="AF21" s="120"/>
      <c r="AG21" s="120"/>
      <c r="AH21" s="121">
        <v>0.13</v>
      </c>
      <c r="AI21" s="114"/>
      <c r="AJ21" s="119" t="s">
        <v>214</v>
      </c>
      <c r="AK21" s="120"/>
      <c r="AL21" s="120"/>
      <c r="AM21" s="121">
        <v>0.13</v>
      </c>
      <c r="AO21" s="97" t="s">
        <v>214</v>
      </c>
      <c r="AP21" s="98"/>
      <c r="AQ21" s="98"/>
      <c r="AR21" s="99">
        <v>0.13</v>
      </c>
      <c r="AS21" s="98"/>
      <c r="AT21" s="97" t="s">
        <v>214</v>
      </c>
      <c r="AU21" s="98"/>
      <c r="AV21" s="98"/>
      <c r="AW21" s="99">
        <v>0.13</v>
      </c>
      <c r="AX21" s="98"/>
      <c r="AY21" s="97" t="s">
        <v>214</v>
      </c>
      <c r="AZ21" s="98"/>
      <c r="BA21" s="98"/>
      <c r="BB21" s="99">
        <v>0.13</v>
      </c>
      <c r="BC21" s="98"/>
      <c r="BD21" s="97" t="s">
        <v>214</v>
      </c>
      <c r="BE21" s="98"/>
      <c r="BF21" s="98"/>
      <c r="BG21" s="99">
        <v>0.13</v>
      </c>
      <c r="BI21" s="133" t="s">
        <v>214</v>
      </c>
      <c r="BJ21" s="134"/>
      <c r="BK21" s="134"/>
      <c r="BL21" s="135">
        <v>0.13</v>
      </c>
      <c r="BM21" s="128"/>
      <c r="BN21" s="133" t="s">
        <v>214</v>
      </c>
      <c r="BO21" s="134"/>
      <c r="BP21" s="134"/>
      <c r="BQ21" s="135">
        <v>0.13</v>
      </c>
      <c r="BR21" s="128"/>
      <c r="BS21" s="133" t="s">
        <v>214</v>
      </c>
      <c r="BT21" s="134"/>
      <c r="BU21" s="134"/>
      <c r="BV21" s="135">
        <v>0.13</v>
      </c>
      <c r="BW21" s="128"/>
      <c r="BX21" s="133" t="s">
        <v>214</v>
      </c>
      <c r="BY21" s="134"/>
      <c r="BZ21" s="134"/>
      <c r="CA21" s="135">
        <v>0.13</v>
      </c>
    </row>
    <row r="22" spans="1:79" x14ac:dyDescent="0.2">
      <c r="A22" s="108" t="s">
        <v>215</v>
      </c>
      <c r="B22" s="109">
        <v>109</v>
      </c>
      <c r="C22" s="109">
        <v>0.13</v>
      </c>
      <c r="D22" s="110">
        <f>(B22/1000)/C22</f>
        <v>0.83846153846153848</v>
      </c>
      <c r="E22" s="103"/>
      <c r="F22" s="108" t="s">
        <v>215</v>
      </c>
      <c r="G22" s="109">
        <v>109</v>
      </c>
      <c r="H22" s="109">
        <v>0.13</v>
      </c>
      <c r="I22" s="110">
        <f>(G22/1000)/H22</f>
        <v>0.83846153846153848</v>
      </c>
      <c r="J22" s="103"/>
      <c r="K22" s="108" t="s">
        <v>215</v>
      </c>
      <c r="L22" s="109">
        <v>109</v>
      </c>
      <c r="M22" s="109">
        <v>0.13</v>
      </c>
      <c r="N22" s="110">
        <f>(L22/1000)/M22</f>
        <v>0.83846153846153848</v>
      </c>
      <c r="O22" s="103"/>
      <c r="P22" s="108" t="s">
        <v>215</v>
      </c>
      <c r="Q22" s="109">
        <v>109</v>
      </c>
      <c r="R22" s="109">
        <v>0.13</v>
      </c>
      <c r="S22" s="110">
        <f>(Q22/1000)/R22</f>
        <v>0.83846153846153848</v>
      </c>
      <c r="U22" s="119" t="s">
        <v>215</v>
      </c>
      <c r="V22" s="120">
        <v>109</v>
      </c>
      <c r="W22" s="120">
        <v>0.13</v>
      </c>
      <c r="X22" s="121">
        <f>(V22/1000)/W22</f>
        <v>0.83846153846153848</v>
      </c>
      <c r="Y22" s="114"/>
      <c r="Z22" s="119" t="s">
        <v>215</v>
      </c>
      <c r="AA22" s="120">
        <v>109</v>
      </c>
      <c r="AB22" s="120">
        <v>0.13</v>
      </c>
      <c r="AC22" s="121">
        <f>(AA22/1000)/AB22</f>
        <v>0.83846153846153848</v>
      </c>
      <c r="AD22" s="114"/>
      <c r="AE22" s="119" t="s">
        <v>215</v>
      </c>
      <c r="AF22" s="120">
        <v>109</v>
      </c>
      <c r="AG22" s="120">
        <v>0.13</v>
      </c>
      <c r="AH22" s="121">
        <f>(AF22/1000)/AG22</f>
        <v>0.83846153846153848</v>
      </c>
      <c r="AI22" s="114"/>
      <c r="AJ22" s="119" t="s">
        <v>215</v>
      </c>
      <c r="AK22" s="120">
        <v>109</v>
      </c>
      <c r="AL22" s="120">
        <v>0.13</v>
      </c>
      <c r="AM22" s="121">
        <f>(AK22/1000)/AL22</f>
        <v>0.83846153846153848</v>
      </c>
      <c r="AO22" s="97" t="s">
        <v>215</v>
      </c>
      <c r="AP22" s="98">
        <v>130</v>
      </c>
      <c r="AQ22" s="98">
        <v>0.13</v>
      </c>
      <c r="AR22" s="99">
        <f>(AP22/1000)/AQ22</f>
        <v>1</v>
      </c>
      <c r="AS22" s="98"/>
      <c r="AT22" s="97" t="s">
        <v>215</v>
      </c>
      <c r="AU22" s="98">
        <v>130</v>
      </c>
      <c r="AV22" s="98">
        <v>0.13</v>
      </c>
      <c r="AW22" s="99">
        <f>(AU22/1000)/AV22</f>
        <v>1</v>
      </c>
      <c r="AX22" s="98"/>
      <c r="AY22" s="97" t="s">
        <v>215</v>
      </c>
      <c r="AZ22" s="98">
        <v>130</v>
      </c>
      <c r="BA22" s="98">
        <v>0.13</v>
      </c>
      <c r="BB22" s="99">
        <f>(AZ22/1000)/BA22</f>
        <v>1</v>
      </c>
      <c r="BC22" s="98"/>
      <c r="BD22" s="97" t="s">
        <v>215</v>
      </c>
      <c r="BE22" s="98">
        <v>130</v>
      </c>
      <c r="BF22" s="98">
        <v>0.13</v>
      </c>
      <c r="BG22" s="99">
        <f>(BE22/1000)/BF22</f>
        <v>1</v>
      </c>
      <c r="BI22" s="133" t="s">
        <v>215</v>
      </c>
      <c r="BJ22" s="134">
        <v>115</v>
      </c>
      <c r="BK22" s="134">
        <v>0.13</v>
      </c>
      <c r="BL22" s="135">
        <f>(BJ22/1000)/BK22</f>
        <v>0.88461538461538458</v>
      </c>
      <c r="BM22" s="128"/>
      <c r="BN22" s="133" t="s">
        <v>215</v>
      </c>
      <c r="BO22" s="134">
        <v>115</v>
      </c>
      <c r="BP22" s="134">
        <v>0.13</v>
      </c>
      <c r="BQ22" s="135">
        <f>(BO22/1000)/BP22</f>
        <v>0.88461538461538458</v>
      </c>
      <c r="BR22" s="128"/>
      <c r="BS22" s="133" t="s">
        <v>215</v>
      </c>
      <c r="BT22" s="134">
        <v>115</v>
      </c>
      <c r="BU22" s="134">
        <v>0.13</v>
      </c>
      <c r="BV22" s="135">
        <f>(BT22/1000)/BU22</f>
        <v>0.88461538461538458</v>
      </c>
      <c r="BW22" s="128"/>
      <c r="BX22" s="133" t="s">
        <v>215</v>
      </c>
      <c r="BY22" s="134">
        <v>115</v>
      </c>
      <c r="BZ22" s="134">
        <v>0.13</v>
      </c>
      <c r="CA22" s="135">
        <f>(BY22/1000)/BZ22</f>
        <v>0.88461538461538458</v>
      </c>
    </row>
    <row r="23" spans="1:79" x14ac:dyDescent="0.2">
      <c r="A23" s="108" t="s">
        <v>216</v>
      </c>
      <c r="B23" s="109">
        <v>60</v>
      </c>
      <c r="C23" s="109">
        <v>3.1E-2</v>
      </c>
      <c r="D23" s="110">
        <f>(B23/1000)/C23</f>
        <v>1.9354838709677418</v>
      </c>
      <c r="E23" s="103"/>
      <c r="F23" s="108" t="s">
        <v>216</v>
      </c>
      <c r="G23" s="109">
        <v>79</v>
      </c>
      <c r="H23" s="109">
        <v>3.1E-2</v>
      </c>
      <c r="I23" s="110">
        <f>(G23/1000)/H23</f>
        <v>2.5483870967741935</v>
      </c>
      <c r="J23" s="103"/>
      <c r="K23" s="108" t="s">
        <v>216</v>
      </c>
      <c r="L23" s="109">
        <v>93</v>
      </c>
      <c r="M23" s="109">
        <v>3.1E-2</v>
      </c>
      <c r="N23" s="110">
        <f>(L23/1000)/M23</f>
        <v>3</v>
      </c>
      <c r="O23" s="103"/>
      <c r="P23" s="108" t="s">
        <v>216</v>
      </c>
      <c r="Q23" s="109">
        <v>109</v>
      </c>
      <c r="R23" s="109">
        <v>3.1E-2</v>
      </c>
      <c r="S23" s="110">
        <f>(Q23/1000)/R23</f>
        <v>3.5161290322580645</v>
      </c>
      <c r="U23" s="119" t="s">
        <v>216</v>
      </c>
      <c r="V23" s="120">
        <v>60</v>
      </c>
      <c r="W23" s="120">
        <v>3.1E-2</v>
      </c>
      <c r="X23" s="121">
        <f>(V23/1000)/W23</f>
        <v>1.9354838709677418</v>
      </c>
      <c r="Y23" s="114"/>
      <c r="Z23" s="119" t="s">
        <v>216</v>
      </c>
      <c r="AA23" s="120">
        <v>79</v>
      </c>
      <c r="AB23" s="120">
        <v>3.1E-2</v>
      </c>
      <c r="AC23" s="121">
        <f>(AA23/1000)/AB23</f>
        <v>2.5483870967741935</v>
      </c>
      <c r="AD23" s="114"/>
      <c r="AE23" s="119" t="s">
        <v>216</v>
      </c>
      <c r="AF23" s="120">
        <v>93</v>
      </c>
      <c r="AG23" s="120">
        <v>3.1E-2</v>
      </c>
      <c r="AH23" s="121">
        <f>(AF23/1000)/AG23</f>
        <v>3</v>
      </c>
      <c r="AI23" s="114"/>
      <c r="AJ23" s="119" t="s">
        <v>216</v>
      </c>
      <c r="AK23" s="120">
        <v>109</v>
      </c>
      <c r="AL23" s="120">
        <v>3.1E-2</v>
      </c>
      <c r="AM23" s="121">
        <f>(AK23/1000)/AL23</f>
        <v>3.5161290322580645</v>
      </c>
      <c r="AO23" s="97" t="s">
        <v>216</v>
      </c>
      <c r="AP23" s="98">
        <v>60</v>
      </c>
      <c r="AQ23" s="98">
        <v>3.1E-2</v>
      </c>
      <c r="AR23" s="99">
        <f>(AP23/1000)/AQ23</f>
        <v>1.9354838709677418</v>
      </c>
      <c r="AS23" s="98"/>
      <c r="AT23" s="97" t="s">
        <v>216</v>
      </c>
      <c r="AU23" s="98">
        <v>79</v>
      </c>
      <c r="AV23" s="98">
        <v>3.1E-2</v>
      </c>
      <c r="AW23" s="99">
        <f>(AU23/1000)/AV23</f>
        <v>2.5483870967741935</v>
      </c>
      <c r="AX23" s="98"/>
      <c r="AY23" s="97" t="s">
        <v>216</v>
      </c>
      <c r="AZ23" s="98">
        <v>93</v>
      </c>
      <c r="BA23" s="98">
        <v>3.1E-2</v>
      </c>
      <c r="BB23" s="99">
        <f>(AZ23/1000)/BA23</f>
        <v>3</v>
      </c>
      <c r="BC23" s="98"/>
      <c r="BD23" s="97" t="s">
        <v>216</v>
      </c>
      <c r="BE23" s="98">
        <v>109</v>
      </c>
      <c r="BF23" s="98">
        <v>3.1E-2</v>
      </c>
      <c r="BG23" s="99">
        <f>(BE23/1000)/BF23</f>
        <v>3.5161290322580645</v>
      </c>
      <c r="BI23" s="133" t="s">
        <v>216</v>
      </c>
      <c r="BJ23" s="134">
        <v>60</v>
      </c>
      <c r="BK23" s="134">
        <v>3.1E-2</v>
      </c>
      <c r="BL23" s="135">
        <f>(BJ23/1000)/BK23</f>
        <v>1.9354838709677418</v>
      </c>
      <c r="BM23" s="128"/>
      <c r="BN23" s="133" t="s">
        <v>216</v>
      </c>
      <c r="BO23" s="134">
        <v>79</v>
      </c>
      <c r="BP23" s="134">
        <v>3.1E-2</v>
      </c>
      <c r="BQ23" s="135">
        <f>(BO23/1000)/BP23</f>
        <v>2.5483870967741935</v>
      </c>
      <c r="BR23" s="128"/>
      <c r="BS23" s="133" t="s">
        <v>216</v>
      </c>
      <c r="BT23" s="134">
        <v>93</v>
      </c>
      <c r="BU23" s="134">
        <v>3.1E-2</v>
      </c>
      <c r="BV23" s="135">
        <f>(BT23/1000)/BU23</f>
        <v>3</v>
      </c>
      <c r="BW23" s="128"/>
      <c r="BX23" s="133" t="s">
        <v>216</v>
      </c>
      <c r="BY23" s="134">
        <v>109</v>
      </c>
      <c r="BZ23" s="134">
        <v>3.1E-2</v>
      </c>
      <c r="CA23" s="135">
        <f>(BY23/1000)/BZ23</f>
        <v>3.5161290322580645</v>
      </c>
    </row>
    <row r="24" spans="1:79" x14ac:dyDescent="0.2">
      <c r="A24" s="108" t="s">
        <v>217</v>
      </c>
      <c r="B24" s="109"/>
      <c r="C24" s="109"/>
      <c r="D24" s="110">
        <v>0</v>
      </c>
      <c r="E24" s="103"/>
      <c r="F24" s="108" t="s">
        <v>217</v>
      </c>
      <c r="G24" s="109"/>
      <c r="H24" s="109"/>
      <c r="I24" s="110">
        <v>0</v>
      </c>
      <c r="J24" s="103"/>
      <c r="K24" s="108" t="s">
        <v>217</v>
      </c>
      <c r="L24" s="109"/>
      <c r="M24" s="109"/>
      <c r="N24" s="110">
        <v>0</v>
      </c>
      <c r="O24" s="103"/>
      <c r="P24" s="108" t="s">
        <v>217</v>
      </c>
      <c r="Q24" s="109"/>
      <c r="R24" s="109"/>
      <c r="S24" s="110">
        <v>0</v>
      </c>
      <c r="U24" s="119" t="s">
        <v>217</v>
      </c>
      <c r="V24" s="120"/>
      <c r="W24" s="120"/>
      <c r="X24" s="121">
        <v>0</v>
      </c>
      <c r="Y24" s="114"/>
      <c r="Z24" s="119" t="s">
        <v>217</v>
      </c>
      <c r="AA24" s="120"/>
      <c r="AB24" s="120"/>
      <c r="AC24" s="121">
        <v>0</v>
      </c>
      <c r="AD24" s="114"/>
      <c r="AE24" s="119" t="s">
        <v>217</v>
      </c>
      <c r="AF24" s="120"/>
      <c r="AG24" s="120"/>
      <c r="AH24" s="121">
        <v>0</v>
      </c>
      <c r="AI24" s="114"/>
      <c r="AJ24" s="119" t="s">
        <v>217</v>
      </c>
      <c r="AK24" s="120"/>
      <c r="AL24" s="120"/>
      <c r="AM24" s="121">
        <v>0</v>
      </c>
      <c r="AO24" s="97" t="s">
        <v>217</v>
      </c>
      <c r="AP24" s="98"/>
      <c r="AQ24" s="98"/>
      <c r="AR24" s="99">
        <v>0</v>
      </c>
      <c r="AS24" s="98"/>
      <c r="AT24" s="97" t="s">
        <v>217</v>
      </c>
      <c r="AU24" s="98"/>
      <c r="AV24" s="98"/>
      <c r="AW24" s="99">
        <v>0</v>
      </c>
      <c r="AX24" s="98"/>
      <c r="AY24" s="97" t="s">
        <v>217</v>
      </c>
      <c r="AZ24" s="98"/>
      <c r="BA24" s="98"/>
      <c r="BB24" s="99">
        <v>0</v>
      </c>
      <c r="BC24" s="98"/>
      <c r="BD24" s="97" t="s">
        <v>217</v>
      </c>
      <c r="BE24" s="98"/>
      <c r="BF24" s="98"/>
      <c r="BG24" s="99">
        <v>0</v>
      </c>
      <c r="BI24" s="133" t="s">
        <v>217</v>
      </c>
      <c r="BJ24" s="134"/>
      <c r="BK24" s="134"/>
      <c r="BL24" s="135">
        <v>0</v>
      </c>
      <c r="BM24" s="128"/>
      <c r="BN24" s="133" t="s">
        <v>217</v>
      </c>
      <c r="BO24" s="134"/>
      <c r="BP24" s="134"/>
      <c r="BQ24" s="135">
        <v>0</v>
      </c>
      <c r="BR24" s="128"/>
      <c r="BS24" s="133" t="s">
        <v>217</v>
      </c>
      <c r="BT24" s="134"/>
      <c r="BU24" s="134"/>
      <c r="BV24" s="135">
        <v>0</v>
      </c>
      <c r="BW24" s="128"/>
      <c r="BX24" s="133" t="s">
        <v>217</v>
      </c>
      <c r="BY24" s="134"/>
      <c r="BZ24" s="134"/>
      <c r="CA24" s="135">
        <v>0</v>
      </c>
    </row>
    <row r="25" spans="1:79" x14ac:dyDescent="0.2">
      <c r="A25" s="108" t="s">
        <v>222</v>
      </c>
      <c r="B25" s="109"/>
      <c r="C25" s="109"/>
      <c r="D25" s="110">
        <v>0.09</v>
      </c>
      <c r="E25" s="103"/>
      <c r="F25" s="108" t="s">
        <v>222</v>
      </c>
      <c r="G25" s="109"/>
      <c r="H25" s="109"/>
      <c r="I25" s="110">
        <v>0.09</v>
      </c>
      <c r="J25" s="103"/>
      <c r="K25" s="108" t="s">
        <v>222</v>
      </c>
      <c r="L25" s="109"/>
      <c r="M25" s="109"/>
      <c r="N25" s="110">
        <v>0.09</v>
      </c>
      <c r="O25" s="103"/>
      <c r="P25" s="108" t="s">
        <v>222</v>
      </c>
      <c r="Q25" s="109"/>
      <c r="R25" s="109"/>
      <c r="S25" s="110">
        <v>0.09</v>
      </c>
      <c r="U25" s="119" t="s">
        <v>222</v>
      </c>
      <c r="V25" s="120"/>
      <c r="W25" s="120"/>
      <c r="X25" s="121">
        <v>0.09</v>
      </c>
      <c r="Y25" s="114"/>
      <c r="Z25" s="119" t="s">
        <v>222</v>
      </c>
      <c r="AA25" s="120"/>
      <c r="AB25" s="120"/>
      <c r="AC25" s="121">
        <v>0.09</v>
      </c>
      <c r="AD25" s="114"/>
      <c r="AE25" s="119" t="s">
        <v>222</v>
      </c>
      <c r="AF25" s="120"/>
      <c r="AG25" s="120"/>
      <c r="AH25" s="121">
        <v>0.09</v>
      </c>
      <c r="AI25" s="114"/>
      <c r="AJ25" s="119" t="s">
        <v>222</v>
      </c>
      <c r="AK25" s="120"/>
      <c r="AL25" s="120"/>
      <c r="AM25" s="121">
        <v>0.09</v>
      </c>
      <c r="AO25" s="97" t="s">
        <v>222</v>
      </c>
      <c r="AP25" s="98"/>
      <c r="AQ25" s="98"/>
      <c r="AR25" s="99">
        <v>0.09</v>
      </c>
      <c r="AS25" s="98"/>
      <c r="AT25" s="97" t="s">
        <v>222</v>
      </c>
      <c r="AU25" s="98"/>
      <c r="AV25" s="98"/>
      <c r="AW25" s="99">
        <v>0.09</v>
      </c>
      <c r="AX25" s="98"/>
      <c r="AY25" s="97" t="s">
        <v>222</v>
      </c>
      <c r="AZ25" s="98"/>
      <c r="BA25" s="98"/>
      <c r="BB25" s="99">
        <v>0.09</v>
      </c>
      <c r="BC25" s="98"/>
      <c r="BD25" s="97" t="s">
        <v>222</v>
      </c>
      <c r="BE25" s="98"/>
      <c r="BF25" s="98"/>
      <c r="BG25" s="99">
        <v>0.09</v>
      </c>
      <c r="BI25" s="133" t="s">
        <v>222</v>
      </c>
      <c r="BJ25" s="134"/>
      <c r="BK25" s="134"/>
      <c r="BL25" s="135">
        <v>0.09</v>
      </c>
      <c r="BM25" s="128"/>
      <c r="BN25" s="133" t="s">
        <v>222</v>
      </c>
      <c r="BO25" s="134"/>
      <c r="BP25" s="134"/>
      <c r="BQ25" s="135">
        <v>0.09</v>
      </c>
      <c r="BR25" s="128"/>
      <c r="BS25" s="133" t="s">
        <v>222</v>
      </c>
      <c r="BT25" s="134"/>
      <c r="BU25" s="134"/>
      <c r="BV25" s="135">
        <v>0.09</v>
      </c>
      <c r="BW25" s="128"/>
      <c r="BX25" s="133" t="s">
        <v>222</v>
      </c>
      <c r="BY25" s="134"/>
      <c r="BZ25" s="134"/>
      <c r="CA25" s="135">
        <v>0.09</v>
      </c>
    </row>
    <row r="26" spans="1:79" x14ac:dyDescent="0.2">
      <c r="A26" s="108" t="s">
        <v>218</v>
      </c>
      <c r="B26" s="109">
        <v>90</v>
      </c>
      <c r="C26" s="109">
        <v>1.31</v>
      </c>
      <c r="D26" s="110">
        <f>(B26/1000)/C26</f>
        <v>6.8702290076335867E-2</v>
      </c>
      <c r="E26" s="103"/>
      <c r="F26" s="108" t="s">
        <v>218</v>
      </c>
      <c r="G26" s="109">
        <v>90</v>
      </c>
      <c r="H26" s="109">
        <v>1.31</v>
      </c>
      <c r="I26" s="110">
        <f>(G26/1000)/H26</f>
        <v>6.8702290076335867E-2</v>
      </c>
      <c r="J26" s="103"/>
      <c r="K26" s="108" t="s">
        <v>218</v>
      </c>
      <c r="L26" s="109">
        <v>90</v>
      </c>
      <c r="M26" s="109">
        <v>1.31</v>
      </c>
      <c r="N26" s="110">
        <f>(L26/1000)/M26</f>
        <v>6.8702290076335867E-2</v>
      </c>
      <c r="O26" s="103"/>
      <c r="P26" s="108" t="s">
        <v>218</v>
      </c>
      <c r="Q26" s="109">
        <v>90</v>
      </c>
      <c r="R26" s="109">
        <v>1.31</v>
      </c>
      <c r="S26" s="110">
        <f>(Q26/1000)/R26</f>
        <v>6.8702290076335867E-2</v>
      </c>
      <c r="U26" s="119" t="s">
        <v>218</v>
      </c>
      <c r="V26" s="120">
        <v>90</v>
      </c>
      <c r="W26" s="120">
        <v>1.31</v>
      </c>
      <c r="X26" s="121">
        <f>(V26/1000)/W26</f>
        <v>6.8702290076335867E-2</v>
      </c>
      <c r="Y26" s="114"/>
      <c r="Z26" s="119" t="s">
        <v>218</v>
      </c>
      <c r="AA26" s="120">
        <v>90</v>
      </c>
      <c r="AB26" s="120">
        <v>1.31</v>
      </c>
      <c r="AC26" s="121">
        <f>(AA26/1000)/AB26</f>
        <v>6.8702290076335867E-2</v>
      </c>
      <c r="AD26" s="114"/>
      <c r="AE26" s="119" t="s">
        <v>218</v>
      </c>
      <c r="AF26" s="120">
        <v>90</v>
      </c>
      <c r="AG26" s="120">
        <v>1.31</v>
      </c>
      <c r="AH26" s="121">
        <f>(AF26/1000)/AG26</f>
        <v>6.8702290076335867E-2</v>
      </c>
      <c r="AI26" s="114"/>
      <c r="AJ26" s="119" t="s">
        <v>218</v>
      </c>
      <c r="AK26" s="120">
        <v>90</v>
      </c>
      <c r="AL26" s="120">
        <v>1.31</v>
      </c>
      <c r="AM26" s="121">
        <f>(AK26/1000)/AL26</f>
        <v>6.8702290076335867E-2</v>
      </c>
      <c r="AO26" s="97" t="s">
        <v>218</v>
      </c>
      <c r="AP26" s="98">
        <v>90</v>
      </c>
      <c r="AQ26" s="98">
        <v>1.31</v>
      </c>
      <c r="AR26" s="99">
        <f>(AP26/1000)/AQ26</f>
        <v>6.8702290076335867E-2</v>
      </c>
      <c r="AS26" s="98"/>
      <c r="AT26" s="97" t="s">
        <v>218</v>
      </c>
      <c r="AU26" s="98">
        <v>90</v>
      </c>
      <c r="AV26" s="98">
        <v>1.31</v>
      </c>
      <c r="AW26" s="99">
        <f>(AU26/1000)/AV26</f>
        <v>6.8702290076335867E-2</v>
      </c>
      <c r="AX26" s="98"/>
      <c r="AY26" s="97" t="s">
        <v>218</v>
      </c>
      <c r="AZ26" s="98">
        <v>90</v>
      </c>
      <c r="BA26" s="98">
        <v>1.31</v>
      </c>
      <c r="BB26" s="99">
        <f>(AZ26/1000)/BA26</f>
        <v>6.8702290076335867E-2</v>
      </c>
      <c r="BC26" s="98"/>
      <c r="BD26" s="97" t="s">
        <v>218</v>
      </c>
      <c r="BE26" s="98">
        <v>90</v>
      </c>
      <c r="BF26" s="98">
        <v>1.31</v>
      </c>
      <c r="BG26" s="99">
        <f>(BE26/1000)/BF26</f>
        <v>6.8702290076335867E-2</v>
      </c>
      <c r="BI26" s="133" t="s">
        <v>218</v>
      </c>
      <c r="BJ26" s="134">
        <v>90</v>
      </c>
      <c r="BK26" s="134">
        <v>1.31</v>
      </c>
      <c r="BL26" s="135">
        <f>(BJ26/1000)/BK26</f>
        <v>6.8702290076335867E-2</v>
      </c>
      <c r="BM26" s="128"/>
      <c r="BN26" s="133" t="s">
        <v>218</v>
      </c>
      <c r="BO26" s="134">
        <v>90</v>
      </c>
      <c r="BP26" s="134">
        <v>1.31</v>
      </c>
      <c r="BQ26" s="135">
        <f>(BO26/1000)/BP26</f>
        <v>6.8702290076335867E-2</v>
      </c>
      <c r="BR26" s="128"/>
      <c r="BS26" s="133" t="s">
        <v>218</v>
      </c>
      <c r="BT26" s="134">
        <v>90</v>
      </c>
      <c r="BU26" s="134">
        <v>1.31</v>
      </c>
      <c r="BV26" s="135">
        <f>(BT26/1000)/BU26</f>
        <v>6.8702290076335867E-2</v>
      </c>
      <c r="BW26" s="128"/>
      <c r="BX26" s="133" t="s">
        <v>218</v>
      </c>
      <c r="BY26" s="134">
        <v>90</v>
      </c>
      <c r="BZ26" s="134">
        <v>1.31</v>
      </c>
      <c r="CA26" s="135">
        <f>(BY26/1000)/BZ26</f>
        <v>6.8702290076335867E-2</v>
      </c>
    </row>
    <row r="27" spans="1:79" x14ac:dyDescent="0.2">
      <c r="A27" s="108" t="s">
        <v>219</v>
      </c>
      <c r="B27" s="109"/>
      <c r="C27" s="109"/>
      <c r="D27" s="110">
        <v>0.04</v>
      </c>
      <c r="E27" s="103"/>
      <c r="F27" s="108" t="s">
        <v>219</v>
      </c>
      <c r="G27" s="109"/>
      <c r="H27" s="109"/>
      <c r="I27" s="110">
        <v>0.04</v>
      </c>
      <c r="J27" s="103"/>
      <c r="K27" s="108" t="s">
        <v>219</v>
      </c>
      <c r="L27" s="109"/>
      <c r="M27" s="109"/>
      <c r="N27" s="110">
        <v>0.04</v>
      </c>
      <c r="O27" s="103"/>
      <c r="P27" s="108" t="s">
        <v>219</v>
      </c>
      <c r="Q27" s="109"/>
      <c r="R27" s="109"/>
      <c r="S27" s="110">
        <v>0.04</v>
      </c>
      <c r="U27" s="119" t="s">
        <v>219</v>
      </c>
      <c r="V27" s="120"/>
      <c r="W27" s="120"/>
      <c r="X27" s="121">
        <v>0.04</v>
      </c>
      <c r="Y27" s="114"/>
      <c r="Z27" s="119" t="s">
        <v>219</v>
      </c>
      <c r="AA27" s="120"/>
      <c r="AB27" s="120"/>
      <c r="AC27" s="121">
        <v>0.04</v>
      </c>
      <c r="AD27" s="114"/>
      <c r="AE27" s="119" t="s">
        <v>219</v>
      </c>
      <c r="AF27" s="120"/>
      <c r="AG27" s="120"/>
      <c r="AH27" s="121">
        <v>0.04</v>
      </c>
      <c r="AI27" s="114"/>
      <c r="AJ27" s="119" t="s">
        <v>219</v>
      </c>
      <c r="AK27" s="120"/>
      <c r="AL27" s="120"/>
      <c r="AM27" s="121">
        <v>0.04</v>
      </c>
      <c r="AO27" s="97" t="s">
        <v>219</v>
      </c>
      <c r="AP27" s="98"/>
      <c r="AQ27" s="98"/>
      <c r="AR27" s="99">
        <v>0.04</v>
      </c>
      <c r="AS27" s="98"/>
      <c r="AT27" s="97" t="s">
        <v>219</v>
      </c>
      <c r="AU27" s="98"/>
      <c r="AV27" s="98"/>
      <c r="AW27" s="99">
        <v>0.04</v>
      </c>
      <c r="AX27" s="98"/>
      <c r="AY27" s="97" t="s">
        <v>219</v>
      </c>
      <c r="AZ27" s="98"/>
      <c r="BA27" s="98"/>
      <c r="BB27" s="99">
        <v>0.04</v>
      </c>
      <c r="BC27" s="98"/>
      <c r="BD27" s="97" t="s">
        <v>219</v>
      </c>
      <c r="BE27" s="98"/>
      <c r="BF27" s="98"/>
      <c r="BG27" s="99">
        <v>0.04</v>
      </c>
      <c r="BI27" s="133" t="s">
        <v>219</v>
      </c>
      <c r="BJ27" s="134"/>
      <c r="BK27" s="134"/>
      <c r="BL27" s="135">
        <v>0.04</v>
      </c>
      <c r="BM27" s="128"/>
      <c r="BN27" s="133" t="s">
        <v>219</v>
      </c>
      <c r="BO27" s="134"/>
      <c r="BP27" s="134"/>
      <c r="BQ27" s="135">
        <v>0.04</v>
      </c>
      <c r="BR27" s="128"/>
      <c r="BS27" s="133" t="s">
        <v>219</v>
      </c>
      <c r="BT27" s="134"/>
      <c r="BU27" s="134"/>
      <c r="BV27" s="135">
        <v>0.04</v>
      </c>
      <c r="BW27" s="128"/>
      <c r="BX27" s="133" t="s">
        <v>219</v>
      </c>
      <c r="BY27" s="134"/>
      <c r="BZ27" s="134"/>
      <c r="CA27" s="135">
        <v>0.04</v>
      </c>
    </row>
    <row r="28" spans="1:79" x14ac:dyDescent="0.2">
      <c r="A28" s="108"/>
      <c r="B28" s="109"/>
      <c r="C28" s="109"/>
      <c r="D28" s="110"/>
      <c r="E28" s="103"/>
      <c r="F28" s="108"/>
      <c r="G28" s="109"/>
      <c r="H28" s="109"/>
      <c r="I28" s="110"/>
      <c r="J28" s="103"/>
      <c r="K28" s="108"/>
      <c r="L28" s="109"/>
      <c r="M28" s="109"/>
      <c r="N28" s="110"/>
      <c r="O28" s="103"/>
      <c r="P28" s="108"/>
      <c r="Q28" s="109"/>
      <c r="R28" s="109"/>
      <c r="S28" s="110"/>
      <c r="U28" s="119"/>
      <c r="V28" s="120"/>
      <c r="W28" s="120"/>
      <c r="X28" s="121"/>
      <c r="Y28" s="114"/>
      <c r="Z28" s="119"/>
      <c r="AA28" s="120"/>
      <c r="AB28" s="120"/>
      <c r="AC28" s="121"/>
      <c r="AD28" s="114"/>
      <c r="AE28" s="119"/>
      <c r="AF28" s="120"/>
      <c r="AG28" s="120"/>
      <c r="AH28" s="121"/>
      <c r="AI28" s="114"/>
      <c r="AJ28" s="119"/>
      <c r="AK28" s="120"/>
      <c r="AL28" s="120"/>
      <c r="AM28" s="121"/>
      <c r="AO28" s="97"/>
      <c r="AP28" s="98"/>
      <c r="AQ28" s="98"/>
      <c r="AR28" s="99"/>
      <c r="AS28" s="98"/>
      <c r="AT28" s="97"/>
      <c r="AU28" s="98"/>
      <c r="AV28" s="98"/>
      <c r="AW28" s="99"/>
      <c r="AX28" s="98"/>
      <c r="AY28" s="97"/>
      <c r="AZ28" s="98"/>
      <c r="BA28" s="98"/>
      <c r="BB28" s="99"/>
      <c r="BC28" s="98"/>
      <c r="BD28" s="97"/>
      <c r="BE28" s="98"/>
      <c r="BF28" s="98"/>
      <c r="BG28" s="99"/>
      <c r="BI28" s="133"/>
      <c r="BJ28" s="134"/>
      <c r="BK28" s="134"/>
      <c r="BL28" s="135"/>
      <c r="BM28" s="128"/>
      <c r="BN28" s="133"/>
      <c r="BO28" s="134"/>
      <c r="BP28" s="134"/>
      <c r="BQ28" s="135"/>
      <c r="BR28" s="128"/>
      <c r="BS28" s="133"/>
      <c r="BT28" s="134"/>
      <c r="BU28" s="134"/>
      <c r="BV28" s="135"/>
      <c r="BW28" s="128"/>
      <c r="BX28" s="133"/>
      <c r="BY28" s="134"/>
      <c r="BZ28" s="134"/>
      <c r="CA28" s="135"/>
    </row>
    <row r="29" spans="1:79" x14ac:dyDescent="0.2">
      <c r="A29" s="108" t="s">
        <v>220</v>
      </c>
      <c r="B29" s="109"/>
      <c r="C29" s="109"/>
      <c r="D29" s="110">
        <v>-0.1</v>
      </c>
      <c r="E29" s="103"/>
      <c r="F29" s="108" t="s">
        <v>220</v>
      </c>
      <c r="G29" s="109"/>
      <c r="H29" s="109"/>
      <c r="I29" s="110">
        <v>-0.1</v>
      </c>
      <c r="J29" s="103"/>
      <c r="K29" s="108" t="s">
        <v>220</v>
      </c>
      <c r="L29" s="109"/>
      <c r="M29" s="109"/>
      <c r="N29" s="110">
        <v>-0.1</v>
      </c>
      <c r="O29" s="103"/>
      <c r="P29" s="108" t="s">
        <v>220</v>
      </c>
      <c r="Q29" s="109"/>
      <c r="R29" s="109"/>
      <c r="S29" s="110">
        <v>-0.1</v>
      </c>
      <c r="U29" s="119" t="s">
        <v>220</v>
      </c>
      <c r="V29" s="120"/>
      <c r="W29" s="120"/>
      <c r="X29" s="121">
        <v>-0.1</v>
      </c>
      <c r="Y29" s="114"/>
      <c r="Z29" s="119" t="s">
        <v>220</v>
      </c>
      <c r="AA29" s="120"/>
      <c r="AB29" s="120"/>
      <c r="AC29" s="121">
        <v>-0.1</v>
      </c>
      <c r="AD29" s="114"/>
      <c r="AE29" s="119" t="s">
        <v>220</v>
      </c>
      <c r="AF29" s="120"/>
      <c r="AG29" s="120"/>
      <c r="AH29" s="121">
        <v>-0.1</v>
      </c>
      <c r="AI29" s="114"/>
      <c r="AJ29" s="119" t="s">
        <v>220</v>
      </c>
      <c r="AK29" s="120"/>
      <c r="AL29" s="120"/>
      <c r="AM29" s="121">
        <v>-0.1</v>
      </c>
      <c r="AO29" s="97" t="s">
        <v>220</v>
      </c>
      <c r="AP29" s="98"/>
      <c r="AQ29" s="98"/>
      <c r="AR29" s="99">
        <v>-0.1</v>
      </c>
      <c r="AS29" s="98"/>
      <c r="AT29" s="97" t="s">
        <v>220</v>
      </c>
      <c r="AU29" s="98"/>
      <c r="AV29" s="98"/>
      <c r="AW29" s="99">
        <v>-0.1</v>
      </c>
      <c r="AX29" s="98"/>
      <c r="AY29" s="97" t="s">
        <v>220</v>
      </c>
      <c r="AZ29" s="98"/>
      <c r="BA29" s="98"/>
      <c r="BB29" s="99">
        <v>-0.1</v>
      </c>
      <c r="BC29" s="98"/>
      <c r="BD29" s="97" t="s">
        <v>220</v>
      </c>
      <c r="BE29" s="98"/>
      <c r="BF29" s="98"/>
      <c r="BG29" s="99">
        <v>-0.1</v>
      </c>
      <c r="BI29" s="133" t="s">
        <v>220</v>
      </c>
      <c r="BJ29" s="134"/>
      <c r="BK29" s="134"/>
      <c r="BL29" s="135">
        <v>-0.1</v>
      </c>
      <c r="BM29" s="128"/>
      <c r="BN29" s="133" t="s">
        <v>220</v>
      </c>
      <c r="BO29" s="134"/>
      <c r="BP29" s="134"/>
      <c r="BQ29" s="135">
        <v>-0.1</v>
      </c>
      <c r="BR29" s="128"/>
      <c r="BS29" s="133" t="s">
        <v>220</v>
      </c>
      <c r="BT29" s="134"/>
      <c r="BU29" s="134"/>
      <c r="BV29" s="135">
        <v>-0.1</v>
      </c>
      <c r="BW29" s="128"/>
      <c r="BX29" s="133" t="s">
        <v>220</v>
      </c>
      <c r="BY29" s="134"/>
      <c r="BZ29" s="134"/>
      <c r="CA29" s="135">
        <v>-0.1</v>
      </c>
    </row>
    <row r="30" spans="1:79" x14ac:dyDescent="0.2">
      <c r="A30" s="108"/>
      <c r="B30" s="109"/>
      <c r="C30" s="109"/>
      <c r="D30" s="110"/>
      <c r="E30" s="103"/>
      <c r="F30" s="108"/>
      <c r="G30" s="109"/>
      <c r="H30" s="109"/>
      <c r="I30" s="110"/>
      <c r="J30" s="103"/>
      <c r="K30" s="108"/>
      <c r="L30" s="109"/>
      <c r="M30" s="109"/>
      <c r="N30" s="110"/>
      <c r="O30" s="103"/>
      <c r="P30" s="108"/>
      <c r="Q30" s="109"/>
      <c r="R30" s="109"/>
      <c r="S30" s="110"/>
      <c r="U30" s="119"/>
      <c r="V30" s="120"/>
      <c r="W30" s="120"/>
      <c r="X30" s="121"/>
      <c r="Y30" s="114"/>
      <c r="Z30" s="119"/>
      <c r="AA30" s="120"/>
      <c r="AB30" s="120"/>
      <c r="AC30" s="121"/>
      <c r="AD30" s="114"/>
      <c r="AE30" s="119"/>
      <c r="AF30" s="120"/>
      <c r="AG30" s="120"/>
      <c r="AH30" s="121"/>
      <c r="AI30" s="114"/>
      <c r="AJ30" s="119"/>
      <c r="AK30" s="120"/>
      <c r="AL30" s="120"/>
      <c r="AM30" s="121"/>
      <c r="AO30" s="97"/>
      <c r="AP30" s="98"/>
      <c r="AQ30" s="98"/>
      <c r="AR30" s="99"/>
      <c r="AS30" s="98"/>
      <c r="AT30" s="97"/>
      <c r="AU30" s="98"/>
      <c r="AV30" s="98"/>
      <c r="AW30" s="99"/>
      <c r="AX30" s="98"/>
      <c r="AY30" s="97"/>
      <c r="AZ30" s="98"/>
      <c r="BA30" s="98"/>
      <c r="BB30" s="99"/>
      <c r="BC30" s="98"/>
      <c r="BD30" s="97"/>
      <c r="BE30" s="98"/>
      <c r="BF30" s="98"/>
      <c r="BG30" s="99"/>
      <c r="BI30" s="133"/>
      <c r="BJ30" s="134"/>
      <c r="BK30" s="134"/>
      <c r="BL30" s="135"/>
      <c r="BM30" s="128"/>
      <c r="BN30" s="133"/>
      <c r="BO30" s="134"/>
      <c r="BP30" s="134"/>
      <c r="BQ30" s="135"/>
      <c r="BR30" s="128"/>
      <c r="BS30" s="133"/>
      <c r="BT30" s="134"/>
      <c r="BU30" s="134"/>
      <c r="BV30" s="135"/>
      <c r="BW30" s="128"/>
      <c r="BX30" s="133"/>
      <c r="BY30" s="134"/>
      <c r="BZ30" s="134"/>
      <c r="CA30" s="135"/>
    </row>
    <row r="31" spans="1:79" s="142" customFormat="1" ht="18.75" x14ac:dyDescent="0.35">
      <c r="A31" s="139" t="s">
        <v>221</v>
      </c>
      <c r="B31" s="140"/>
      <c r="C31" s="140"/>
      <c r="D31" s="164">
        <f>FLOOR(SUM(D21:D29),0.05)</f>
        <v>3</v>
      </c>
      <c r="E31" s="141"/>
      <c r="F31" s="139" t="s">
        <v>221</v>
      </c>
      <c r="G31" s="140"/>
      <c r="H31" s="140"/>
      <c r="I31" s="164">
        <f>FLOOR(SUM(I21:I29),0.05)</f>
        <v>3.6</v>
      </c>
      <c r="J31" s="141"/>
      <c r="K31" s="139" t="s">
        <v>221</v>
      </c>
      <c r="L31" s="140"/>
      <c r="M31" s="140"/>
      <c r="N31" s="164">
        <f>FLOOR(SUM(N21:N29),0.05)</f>
        <v>4.05</v>
      </c>
      <c r="O31" s="141"/>
      <c r="P31" s="139" t="s">
        <v>221</v>
      </c>
      <c r="Q31" s="140"/>
      <c r="R31" s="140"/>
      <c r="S31" s="164">
        <f>FLOOR(SUM(S21:S29),0.05)</f>
        <v>4.55</v>
      </c>
      <c r="U31" s="143" t="s">
        <v>221</v>
      </c>
      <c r="V31" s="144"/>
      <c r="W31" s="144"/>
      <c r="X31" s="167">
        <f>FLOOR(SUM(X21:X29),0.05)</f>
        <v>3</v>
      </c>
      <c r="Y31" s="145"/>
      <c r="Z31" s="146" t="s">
        <v>221</v>
      </c>
      <c r="AA31" s="147"/>
      <c r="AB31" s="147"/>
      <c r="AC31" s="167">
        <f>FLOOR(SUM(AC21:AC29),0.05)</f>
        <v>3.6</v>
      </c>
      <c r="AD31" s="145"/>
      <c r="AE31" s="146" t="s">
        <v>221</v>
      </c>
      <c r="AF31" s="147"/>
      <c r="AG31" s="147"/>
      <c r="AH31" s="167">
        <f>FLOOR(SUM(AH21:AH29),0.05)</f>
        <v>4.05</v>
      </c>
      <c r="AI31" s="145"/>
      <c r="AJ31" s="146" t="s">
        <v>221</v>
      </c>
      <c r="AK31" s="147"/>
      <c r="AL31" s="147"/>
      <c r="AM31" s="167">
        <f>FLOOR(SUM(AM21:AM29),0.05)</f>
        <v>4.55</v>
      </c>
      <c r="AN31" s="148"/>
      <c r="AO31" s="149" t="s">
        <v>221</v>
      </c>
      <c r="AP31" s="150"/>
      <c r="AQ31" s="150"/>
      <c r="AR31" s="169">
        <f>FLOOR(SUM(AR21:AR29),0.05)</f>
        <v>3.1500000000000004</v>
      </c>
      <c r="AS31" s="151"/>
      <c r="AT31" s="149" t="s">
        <v>221</v>
      </c>
      <c r="AU31" s="150"/>
      <c r="AV31" s="150"/>
      <c r="AW31" s="169">
        <f>FLOOR(SUM(AW21:AW29),0.05)</f>
        <v>3.75</v>
      </c>
      <c r="AX31" s="151"/>
      <c r="AY31" s="149" t="s">
        <v>221</v>
      </c>
      <c r="AZ31" s="150"/>
      <c r="BA31" s="150"/>
      <c r="BB31" s="169">
        <f>FLOOR(SUM(BB21:BB29),0.05)</f>
        <v>4.2</v>
      </c>
      <c r="BC31" s="151"/>
      <c r="BD31" s="149" t="s">
        <v>221</v>
      </c>
      <c r="BE31" s="150"/>
      <c r="BF31" s="150"/>
      <c r="BG31" s="169">
        <f>FLOOR(SUM(BG21:BG29),0.05)</f>
        <v>4.7</v>
      </c>
      <c r="BH31" s="148"/>
      <c r="BI31" s="152" t="s">
        <v>221</v>
      </c>
      <c r="BJ31" s="153"/>
      <c r="BK31" s="153"/>
      <c r="BL31" s="171">
        <f>FLOOR(SUM(BL21:BL29),0.05)</f>
        <v>3</v>
      </c>
      <c r="BM31" s="154"/>
      <c r="BN31" s="152" t="s">
        <v>221</v>
      </c>
      <c r="BO31" s="153"/>
      <c r="BP31" s="153"/>
      <c r="BQ31" s="171">
        <f>FLOOR(SUM(BQ21:BQ29),0.05)</f>
        <v>3.6500000000000004</v>
      </c>
      <c r="BR31" s="154"/>
      <c r="BS31" s="152" t="s">
        <v>221</v>
      </c>
      <c r="BT31" s="153"/>
      <c r="BU31" s="153"/>
      <c r="BV31" s="171">
        <f>FLOOR(SUM(BV21:BV29),0.05)</f>
        <v>4.1000000000000005</v>
      </c>
      <c r="BW31" s="154"/>
      <c r="BX31" s="152" t="s">
        <v>221</v>
      </c>
      <c r="BY31" s="153"/>
      <c r="BZ31" s="153"/>
      <c r="CA31" s="171">
        <f>FLOOR(SUM(CA21:CA29),0.05)</f>
        <v>4.6000000000000005</v>
      </c>
    </row>
    <row r="32" spans="1:79" x14ac:dyDescent="0.2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126"/>
      <c r="BD32" s="92"/>
      <c r="BE32" s="92"/>
      <c r="BF32" s="92"/>
      <c r="BG32" s="92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</row>
    <row r="33" spans="1:81" x14ac:dyDescent="0.2">
      <c r="A33" s="104"/>
      <c r="B33" s="105" t="s">
        <v>52</v>
      </c>
      <c r="C33" s="106" t="s">
        <v>53</v>
      </c>
      <c r="D33" s="107" t="s">
        <v>71</v>
      </c>
      <c r="E33" s="103"/>
      <c r="F33" s="104"/>
      <c r="G33" s="105" t="s">
        <v>52</v>
      </c>
      <c r="H33" s="106" t="s">
        <v>53</v>
      </c>
      <c r="I33" s="107" t="s">
        <v>71</v>
      </c>
      <c r="J33" s="103"/>
      <c r="K33" s="104"/>
      <c r="L33" s="105" t="s">
        <v>52</v>
      </c>
      <c r="M33" s="106" t="s">
        <v>53</v>
      </c>
      <c r="N33" s="107" t="s">
        <v>71</v>
      </c>
      <c r="O33" s="103"/>
      <c r="P33" s="104"/>
      <c r="Q33" s="105" t="s">
        <v>52</v>
      </c>
      <c r="R33" s="106" t="s">
        <v>53</v>
      </c>
      <c r="S33" s="107" t="s">
        <v>71</v>
      </c>
      <c r="U33" s="115"/>
      <c r="V33" s="116" t="s">
        <v>52</v>
      </c>
      <c r="W33" s="117" t="s">
        <v>53</v>
      </c>
      <c r="X33" s="118" t="s">
        <v>71</v>
      </c>
      <c r="Y33" s="114"/>
      <c r="Z33" s="115"/>
      <c r="AA33" s="116" t="s">
        <v>52</v>
      </c>
      <c r="AB33" s="117" t="s">
        <v>53</v>
      </c>
      <c r="AC33" s="118" t="s">
        <v>71</v>
      </c>
      <c r="AD33" s="114"/>
      <c r="AE33" s="115"/>
      <c r="AF33" s="116" t="s">
        <v>52</v>
      </c>
      <c r="AG33" s="117" t="s">
        <v>53</v>
      </c>
      <c r="AH33" s="118" t="s">
        <v>71</v>
      </c>
      <c r="AI33" s="114"/>
      <c r="AJ33" s="115"/>
      <c r="AK33" s="116" t="s">
        <v>52</v>
      </c>
      <c r="AL33" s="117" t="s">
        <v>53</v>
      </c>
      <c r="AM33" s="118" t="s">
        <v>71</v>
      </c>
      <c r="AO33" s="93"/>
      <c r="AP33" s="94" t="s">
        <v>52</v>
      </c>
      <c r="AQ33" s="95" t="s">
        <v>53</v>
      </c>
      <c r="AR33" s="96" t="s">
        <v>71</v>
      </c>
      <c r="AS33" s="98"/>
      <c r="AT33" s="93"/>
      <c r="AU33" s="94" t="s">
        <v>52</v>
      </c>
      <c r="AV33" s="95" t="s">
        <v>53</v>
      </c>
      <c r="AW33" s="96" t="s">
        <v>71</v>
      </c>
      <c r="AX33" s="98"/>
      <c r="AY33" s="93"/>
      <c r="AZ33" s="94" t="s">
        <v>52</v>
      </c>
      <c r="BA33" s="95" t="s">
        <v>53</v>
      </c>
      <c r="BB33" s="96" t="s">
        <v>71</v>
      </c>
      <c r="BC33" s="98"/>
      <c r="BD33" s="93"/>
      <c r="BE33" s="94" t="s">
        <v>52</v>
      </c>
      <c r="BF33" s="95" t="s">
        <v>53</v>
      </c>
      <c r="BG33" s="96" t="s">
        <v>71</v>
      </c>
      <c r="BI33" s="129"/>
      <c r="BJ33" s="130" t="s">
        <v>52</v>
      </c>
      <c r="BK33" s="131" t="s">
        <v>53</v>
      </c>
      <c r="BL33" s="132" t="s">
        <v>71</v>
      </c>
      <c r="BM33" s="128"/>
      <c r="BN33" s="129"/>
      <c r="BO33" s="130" t="s">
        <v>52</v>
      </c>
      <c r="BP33" s="131" t="s">
        <v>53</v>
      </c>
      <c r="BQ33" s="132" t="s">
        <v>71</v>
      </c>
      <c r="BR33" s="128"/>
      <c r="BS33" s="129"/>
      <c r="BT33" s="130" t="s">
        <v>52</v>
      </c>
      <c r="BU33" s="131" t="s">
        <v>53</v>
      </c>
      <c r="BV33" s="132" t="s">
        <v>71</v>
      </c>
      <c r="BW33" s="128"/>
      <c r="BX33" s="129"/>
      <c r="BY33" s="130" t="s">
        <v>52</v>
      </c>
      <c r="BZ33" s="131" t="s">
        <v>53</v>
      </c>
      <c r="CA33" s="132" t="s">
        <v>71</v>
      </c>
    </row>
    <row r="34" spans="1:81" x14ac:dyDescent="0.2">
      <c r="A34" s="108"/>
      <c r="B34" s="109" t="s">
        <v>54</v>
      </c>
      <c r="C34" s="109" t="s">
        <v>55</v>
      </c>
      <c r="D34" s="110" t="s">
        <v>1</v>
      </c>
      <c r="E34" s="103"/>
      <c r="F34" s="108"/>
      <c r="G34" s="109" t="s">
        <v>54</v>
      </c>
      <c r="H34" s="109" t="s">
        <v>55</v>
      </c>
      <c r="I34" s="110" t="s">
        <v>1</v>
      </c>
      <c r="J34" s="103"/>
      <c r="K34" s="108"/>
      <c r="L34" s="109" t="s">
        <v>54</v>
      </c>
      <c r="M34" s="109" t="s">
        <v>55</v>
      </c>
      <c r="N34" s="110" t="s">
        <v>1</v>
      </c>
      <c r="O34" s="103"/>
      <c r="P34" s="108"/>
      <c r="Q34" s="109" t="s">
        <v>54</v>
      </c>
      <c r="R34" s="109" t="s">
        <v>55</v>
      </c>
      <c r="S34" s="110" t="s">
        <v>1</v>
      </c>
      <c r="U34" s="119"/>
      <c r="V34" s="120" t="s">
        <v>54</v>
      </c>
      <c r="W34" s="120" t="s">
        <v>55</v>
      </c>
      <c r="X34" s="121" t="s">
        <v>1</v>
      </c>
      <c r="Y34" s="114"/>
      <c r="Z34" s="119"/>
      <c r="AA34" s="120" t="s">
        <v>54</v>
      </c>
      <c r="AB34" s="120" t="s">
        <v>55</v>
      </c>
      <c r="AC34" s="121" t="s">
        <v>1</v>
      </c>
      <c r="AD34" s="114"/>
      <c r="AE34" s="119"/>
      <c r="AF34" s="120" t="s">
        <v>54</v>
      </c>
      <c r="AG34" s="120" t="s">
        <v>55</v>
      </c>
      <c r="AH34" s="121" t="s">
        <v>1</v>
      </c>
      <c r="AI34" s="114"/>
      <c r="AJ34" s="119"/>
      <c r="AK34" s="120" t="s">
        <v>54</v>
      </c>
      <c r="AL34" s="120" t="s">
        <v>55</v>
      </c>
      <c r="AM34" s="121" t="s">
        <v>1</v>
      </c>
      <c r="AO34" s="97"/>
      <c r="AP34" s="98" t="s">
        <v>54</v>
      </c>
      <c r="AQ34" s="98" t="s">
        <v>55</v>
      </c>
      <c r="AR34" s="99" t="s">
        <v>1</v>
      </c>
      <c r="AS34" s="98"/>
      <c r="AT34" s="97"/>
      <c r="AU34" s="98" t="s">
        <v>54</v>
      </c>
      <c r="AV34" s="98" t="s">
        <v>55</v>
      </c>
      <c r="AW34" s="99" t="s">
        <v>1</v>
      </c>
      <c r="AX34" s="98"/>
      <c r="AY34" s="97"/>
      <c r="AZ34" s="98" t="s">
        <v>54</v>
      </c>
      <c r="BA34" s="98" t="s">
        <v>55</v>
      </c>
      <c r="BB34" s="99" t="s">
        <v>1</v>
      </c>
      <c r="BC34" s="98"/>
      <c r="BD34" s="97"/>
      <c r="BE34" s="98" t="s">
        <v>54</v>
      </c>
      <c r="BF34" s="98" t="s">
        <v>55</v>
      </c>
      <c r="BG34" s="99" t="s">
        <v>1</v>
      </c>
      <c r="BI34" s="133"/>
      <c r="BJ34" s="134" t="s">
        <v>54</v>
      </c>
      <c r="BK34" s="134" t="s">
        <v>55</v>
      </c>
      <c r="BL34" s="135" t="s">
        <v>1</v>
      </c>
      <c r="BM34" s="128"/>
      <c r="BN34" s="133"/>
      <c r="BO34" s="134" t="s">
        <v>54</v>
      </c>
      <c r="BP34" s="134" t="s">
        <v>55</v>
      </c>
      <c r="BQ34" s="135" t="s">
        <v>1</v>
      </c>
      <c r="BR34" s="128"/>
      <c r="BS34" s="133"/>
      <c r="BT34" s="134" t="s">
        <v>54</v>
      </c>
      <c r="BU34" s="134" t="s">
        <v>55</v>
      </c>
      <c r="BV34" s="135" t="s">
        <v>1</v>
      </c>
      <c r="BW34" s="128"/>
      <c r="BX34" s="133"/>
      <c r="BY34" s="134" t="s">
        <v>54</v>
      </c>
      <c r="BZ34" s="134" t="s">
        <v>55</v>
      </c>
      <c r="CA34" s="135" t="s">
        <v>1</v>
      </c>
    </row>
    <row r="35" spans="1:81" x14ac:dyDescent="0.2">
      <c r="A35" s="108" t="s">
        <v>214</v>
      </c>
      <c r="B35" s="109"/>
      <c r="C35" s="109"/>
      <c r="D35" s="110">
        <v>0.13</v>
      </c>
      <c r="E35" s="103"/>
      <c r="F35" s="108" t="s">
        <v>214</v>
      </c>
      <c r="G35" s="109"/>
      <c r="H35" s="109"/>
      <c r="I35" s="110">
        <v>0.13</v>
      </c>
      <c r="J35" s="103"/>
      <c r="K35" s="108" t="s">
        <v>214</v>
      </c>
      <c r="L35" s="109"/>
      <c r="M35" s="109"/>
      <c r="N35" s="110">
        <v>0.13</v>
      </c>
      <c r="O35" s="103"/>
      <c r="P35" s="108" t="s">
        <v>214</v>
      </c>
      <c r="Q35" s="109"/>
      <c r="R35" s="109"/>
      <c r="S35" s="110">
        <v>0.13</v>
      </c>
      <c r="U35" s="119" t="s">
        <v>214</v>
      </c>
      <c r="V35" s="120"/>
      <c r="W35" s="120"/>
      <c r="X35" s="121">
        <v>0.13</v>
      </c>
      <c r="Y35" s="114"/>
      <c r="Z35" s="119" t="s">
        <v>214</v>
      </c>
      <c r="AA35" s="120"/>
      <c r="AB35" s="120"/>
      <c r="AC35" s="121">
        <v>0.13</v>
      </c>
      <c r="AD35" s="114"/>
      <c r="AE35" s="119" t="s">
        <v>214</v>
      </c>
      <c r="AF35" s="120"/>
      <c r="AG35" s="120"/>
      <c r="AH35" s="121">
        <v>0.13</v>
      </c>
      <c r="AI35" s="114"/>
      <c r="AJ35" s="119" t="s">
        <v>214</v>
      </c>
      <c r="AK35" s="120"/>
      <c r="AL35" s="120"/>
      <c r="AM35" s="121">
        <v>0.13</v>
      </c>
      <c r="AO35" s="97" t="s">
        <v>214</v>
      </c>
      <c r="AP35" s="98"/>
      <c r="AQ35" s="98"/>
      <c r="AR35" s="99">
        <v>0.13</v>
      </c>
      <c r="AS35" s="98"/>
      <c r="AT35" s="97" t="s">
        <v>214</v>
      </c>
      <c r="AU35" s="98"/>
      <c r="AV35" s="98"/>
      <c r="AW35" s="99">
        <v>0.13</v>
      </c>
      <c r="AX35" s="98"/>
      <c r="AY35" s="97" t="s">
        <v>214</v>
      </c>
      <c r="AZ35" s="98"/>
      <c r="BA35" s="98"/>
      <c r="BB35" s="99">
        <v>0.13</v>
      </c>
      <c r="BC35" s="98"/>
      <c r="BD35" s="97" t="s">
        <v>214</v>
      </c>
      <c r="BE35" s="98"/>
      <c r="BF35" s="98"/>
      <c r="BG35" s="99">
        <v>0.13</v>
      </c>
      <c r="BI35" s="133" t="s">
        <v>214</v>
      </c>
      <c r="BJ35" s="134"/>
      <c r="BK35" s="134"/>
      <c r="BL35" s="135">
        <v>0.13</v>
      </c>
      <c r="BM35" s="128"/>
      <c r="BN35" s="133" t="s">
        <v>214</v>
      </c>
      <c r="BO35" s="134"/>
      <c r="BP35" s="134"/>
      <c r="BQ35" s="135">
        <v>0.13</v>
      </c>
      <c r="BR35" s="128"/>
      <c r="BS35" s="133" t="s">
        <v>214</v>
      </c>
      <c r="BT35" s="134"/>
      <c r="BU35" s="134"/>
      <c r="BV35" s="135">
        <v>0.13</v>
      </c>
      <c r="BW35" s="128"/>
      <c r="BX35" s="133" t="s">
        <v>214</v>
      </c>
      <c r="BY35" s="134"/>
      <c r="BZ35" s="134"/>
      <c r="CA35" s="135">
        <v>0.13</v>
      </c>
    </row>
    <row r="36" spans="1:81" x14ac:dyDescent="0.2">
      <c r="A36" s="108" t="s">
        <v>215</v>
      </c>
      <c r="B36" s="109">
        <v>115</v>
      </c>
      <c r="C36" s="109">
        <v>0.13</v>
      </c>
      <c r="D36" s="110">
        <f>(B36/1000)/C36</f>
        <v>0.88461538461538458</v>
      </c>
      <c r="E36" s="103"/>
      <c r="F36" s="108" t="s">
        <v>215</v>
      </c>
      <c r="G36" s="109">
        <v>115</v>
      </c>
      <c r="H36" s="109">
        <v>0.13</v>
      </c>
      <c r="I36" s="110">
        <f>(G36/1000)/H36</f>
        <v>0.88461538461538458</v>
      </c>
      <c r="J36" s="103"/>
      <c r="K36" s="108" t="s">
        <v>215</v>
      </c>
      <c r="L36" s="109">
        <v>115</v>
      </c>
      <c r="M36" s="109">
        <v>0.13</v>
      </c>
      <c r="N36" s="110">
        <f>(L36/1000)/M36</f>
        <v>0.88461538461538458</v>
      </c>
      <c r="O36" s="103"/>
      <c r="P36" s="108" t="s">
        <v>215</v>
      </c>
      <c r="Q36" s="109">
        <v>115</v>
      </c>
      <c r="R36" s="109">
        <v>0.13</v>
      </c>
      <c r="S36" s="110">
        <f>(Q36/1000)/R36</f>
        <v>0.88461538461538458</v>
      </c>
      <c r="U36" s="119" t="s">
        <v>215</v>
      </c>
      <c r="V36" s="120">
        <v>115</v>
      </c>
      <c r="W36" s="120">
        <v>0.13</v>
      </c>
      <c r="X36" s="121">
        <f>(V36/1000)/W36</f>
        <v>0.88461538461538458</v>
      </c>
      <c r="Y36" s="114"/>
      <c r="Z36" s="119" t="s">
        <v>215</v>
      </c>
      <c r="AA36" s="120">
        <v>115</v>
      </c>
      <c r="AB36" s="120">
        <v>0.13</v>
      </c>
      <c r="AC36" s="121">
        <f>(AA36/1000)/AB36</f>
        <v>0.88461538461538458</v>
      </c>
      <c r="AD36" s="114"/>
      <c r="AE36" s="119" t="s">
        <v>215</v>
      </c>
      <c r="AF36" s="120">
        <v>115</v>
      </c>
      <c r="AG36" s="120">
        <v>0.13</v>
      </c>
      <c r="AH36" s="121">
        <f>(AF36/1000)/AG36</f>
        <v>0.88461538461538458</v>
      </c>
      <c r="AI36" s="114"/>
      <c r="AJ36" s="119" t="s">
        <v>215</v>
      </c>
      <c r="AK36" s="120">
        <v>115</v>
      </c>
      <c r="AL36" s="120">
        <v>0.13</v>
      </c>
      <c r="AM36" s="121">
        <f>(AK36/1000)/AL36</f>
        <v>0.88461538461538458</v>
      </c>
      <c r="AO36" s="97" t="s">
        <v>215</v>
      </c>
      <c r="AP36" s="98">
        <v>136</v>
      </c>
      <c r="AQ36" s="98">
        <v>0.13</v>
      </c>
      <c r="AR36" s="99">
        <f>(AP36/1000)/AQ36</f>
        <v>1.0461538461538462</v>
      </c>
      <c r="AS36" s="98"/>
      <c r="AT36" s="97" t="s">
        <v>215</v>
      </c>
      <c r="AU36" s="98">
        <v>136</v>
      </c>
      <c r="AV36" s="98">
        <v>0.13</v>
      </c>
      <c r="AW36" s="99">
        <f>(AU36/1000)/AV36</f>
        <v>1.0461538461538462</v>
      </c>
      <c r="AX36" s="98"/>
      <c r="AY36" s="97" t="s">
        <v>215</v>
      </c>
      <c r="AZ36" s="98">
        <v>136</v>
      </c>
      <c r="BA36" s="98">
        <v>0.13</v>
      </c>
      <c r="BB36" s="99">
        <f>(AZ36/1000)/BA36</f>
        <v>1.0461538461538462</v>
      </c>
      <c r="BC36" s="98"/>
      <c r="BD36" s="97" t="s">
        <v>215</v>
      </c>
      <c r="BE36" s="98">
        <v>136</v>
      </c>
      <c r="BF36" s="98">
        <v>0.13</v>
      </c>
      <c r="BG36" s="99">
        <f>(BE36/1000)/BF36</f>
        <v>1.0461538461538462</v>
      </c>
      <c r="BI36" s="133" t="s">
        <v>215</v>
      </c>
      <c r="BJ36" s="134">
        <v>160</v>
      </c>
      <c r="BK36" s="134">
        <v>0.13</v>
      </c>
      <c r="BL36" s="135">
        <f>(BJ36/1000)/BK36</f>
        <v>1.2307692307692308</v>
      </c>
      <c r="BM36" s="128"/>
      <c r="BN36" s="133" t="s">
        <v>215</v>
      </c>
      <c r="BO36" s="134">
        <v>160</v>
      </c>
      <c r="BP36" s="134">
        <v>0.13</v>
      </c>
      <c r="BQ36" s="135">
        <f>(BO36/1000)/BP36</f>
        <v>1.2307692307692308</v>
      </c>
      <c r="BR36" s="128"/>
      <c r="BS36" s="133" t="s">
        <v>215</v>
      </c>
      <c r="BT36" s="134">
        <v>160</v>
      </c>
      <c r="BU36" s="134">
        <v>0.13</v>
      </c>
      <c r="BV36" s="135">
        <f>(BT36/1000)/BU36</f>
        <v>1.2307692307692308</v>
      </c>
      <c r="BW36" s="128"/>
      <c r="BX36" s="133" t="s">
        <v>215</v>
      </c>
      <c r="BY36" s="134">
        <v>160</v>
      </c>
      <c r="BZ36" s="134">
        <v>0.13</v>
      </c>
      <c r="CA36" s="135">
        <f>(BY36/1000)/BZ36</f>
        <v>1.2307692307692308</v>
      </c>
    </row>
    <row r="37" spans="1:81" x14ac:dyDescent="0.2">
      <c r="A37" s="108" t="s">
        <v>216</v>
      </c>
      <c r="B37" s="109">
        <v>60</v>
      </c>
      <c r="C37" s="109">
        <v>3.1E-2</v>
      </c>
      <c r="D37" s="110">
        <f>(B37/1000)/C37</f>
        <v>1.9354838709677418</v>
      </c>
      <c r="E37" s="103"/>
      <c r="F37" s="108" t="s">
        <v>216</v>
      </c>
      <c r="G37" s="109">
        <v>79</v>
      </c>
      <c r="H37" s="109">
        <v>3.1E-2</v>
      </c>
      <c r="I37" s="110">
        <f>(G37/1000)/H37</f>
        <v>2.5483870967741935</v>
      </c>
      <c r="J37" s="103"/>
      <c r="K37" s="108" t="s">
        <v>216</v>
      </c>
      <c r="L37" s="109">
        <v>93</v>
      </c>
      <c r="M37" s="109">
        <v>3.1E-2</v>
      </c>
      <c r="N37" s="110">
        <f>(L37/1000)/M37</f>
        <v>3</v>
      </c>
      <c r="O37" s="103"/>
      <c r="P37" s="108" t="s">
        <v>216</v>
      </c>
      <c r="Q37" s="109">
        <v>109</v>
      </c>
      <c r="R37" s="109">
        <v>3.1E-2</v>
      </c>
      <c r="S37" s="110">
        <f>(Q37/1000)/R37</f>
        <v>3.5161290322580645</v>
      </c>
      <c r="U37" s="119" t="s">
        <v>216</v>
      </c>
      <c r="V37" s="120">
        <v>60</v>
      </c>
      <c r="W37" s="120">
        <v>3.1E-2</v>
      </c>
      <c r="X37" s="121">
        <f>(V37/1000)/W37</f>
        <v>1.9354838709677418</v>
      </c>
      <c r="Y37" s="114"/>
      <c r="Z37" s="119" t="s">
        <v>216</v>
      </c>
      <c r="AA37" s="120">
        <v>79</v>
      </c>
      <c r="AB37" s="120">
        <v>3.1E-2</v>
      </c>
      <c r="AC37" s="121">
        <f>(AA37/1000)/AB37</f>
        <v>2.5483870967741935</v>
      </c>
      <c r="AD37" s="114"/>
      <c r="AE37" s="119" t="s">
        <v>216</v>
      </c>
      <c r="AF37" s="120">
        <v>93</v>
      </c>
      <c r="AG37" s="120">
        <v>3.1E-2</v>
      </c>
      <c r="AH37" s="121">
        <f>(AF37/1000)/AG37</f>
        <v>3</v>
      </c>
      <c r="AI37" s="114"/>
      <c r="AJ37" s="119" t="s">
        <v>216</v>
      </c>
      <c r="AK37" s="120">
        <v>109</v>
      </c>
      <c r="AL37" s="120">
        <v>3.1E-2</v>
      </c>
      <c r="AM37" s="121">
        <f>(AK37/1000)/AL37</f>
        <v>3.5161290322580645</v>
      </c>
      <c r="AO37" s="97" t="s">
        <v>216</v>
      </c>
      <c r="AP37" s="98">
        <v>60</v>
      </c>
      <c r="AQ37" s="98">
        <v>3.1E-2</v>
      </c>
      <c r="AR37" s="99">
        <f>(AP37/1000)/AQ37</f>
        <v>1.9354838709677418</v>
      </c>
      <c r="AS37" s="98"/>
      <c r="AT37" s="97" t="s">
        <v>216</v>
      </c>
      <c r="AU37" s="98">
        <v>79</v>
      </c>
      <c r="AV37" s="98">
        <v>3.1E-2</v>
      </c>
      <c r="AW37" s="99">
        <f>(AU37/1000)/AV37</f>
        <v>2.5483870967741935</v>
      </c>
      <c r="AX37" s="98"/>
      <c r="AY37" s="97" t="s">
        <v>216</v>
      </c>
      <c r="AZ37" s="98">
        <v>93</v>
      </c>
      <c r="BA37" s="98">
        <v>3.1E-2</v>
      </c>
      <c r="BB37" s="99">
        <f>(AZ37/1000)/BA37</f>
        <v>3</v>
      </c>
      <c r="BC37" s="98"/>
      <c r="BD37" s="97" t="s">
        <v>216</v>
      </c>
      <c r="BE37" s="98">
        <v>109</v>
      </c>
      <c r="BF37" s="98">
        <v>3.1E-2</v>
      </c>
      <c r="BG37" s="99">
        <f>(BE37/1000)/BF37</f>
        <v>3.5161290322580645</v>
      </c>
      <c r="BI37" s="133" t="s">
        <v>216</v>
      </c>
      <c r="BJ37" s="134">
        <v>60</v>
      </c>
      <c r="BK37" s="134">
        <v>3.1E-2</v>
      </c>
      <c r="BL37" s="135">
        <f>(BJ37/1000)/BK37</f>
        <v>1.9354838709677418</v>
      </c>
      <c r="BM37" s="128"/>
      <c r="BN37" s="133" t="s">
        <v>216</v>
      </c>
      <c r="BO37" s="134">
        <v>79</v>
      </c>
      <c r="BP37" s="134">
        <v>3.1E-2</v>
      </c>
      <c r="BQ37" s="135">
        <f>(BO37/1000)/BP37</f>
        <v>2.5483870967741935</v>
      </c>
      <c r="BR37" s="128"/>
      <c r="BS37" s="133" t="s">
        <v>216</v>
      </c>
      <c r="BT37" s="134">
        <v>93</v>
      </c>
      <c r="BU37" s="134">
        <v>3.1E-2</v>
      </c>
      <c r="BV37" s="135">
        <f>(BT37/1000)/BU37</f>
        <v>3</v>
      </c>
      <c r="BW37" s="128"/>
      <c r="BX37" s="133" t="s">
        <v>216</v>
      </c>
      <c r="BY37" s="134">
        <v>109</v>
      </c>
      <c r="BZ37" s="134">
        <v>3.1E-2</v>
      </c>
      <c r="CA37" s="135">
        <f>(BY37/1000)/BZ37</f>
        <v>3.5161290322580645</v>
      </c>
    </row>
    <row r="38" spans="1:81" x14ac:dyDescent="0.2">
      <c r="A38" s="108" t="s">
        <v>217</v>
      </c>
      <c r="B38" s="109"/>
      <c r="C38" s="109"/>
      <c r="D38" s="110">
        <v>0</v>
      </c>
      <c r="E38" s="103"/>
      <c r="F38" s="108" t="s">
        <v>217</v>
      </c>
      <c r="G38" s="109"/>
      <c r="H38" s="109"/>
      <c r="I38" s="110">
        <v>0</v>
      </c>
      <c r="J38" s="103"/>
      <c r="K38" s="108" t="s">
        <v>217</v>
      </c>
      <c r="L38" s="109"/>
      <c r="M38" s="109"/>
      <c r="N38" s="110">
        <v>0</v>
      </c>
      <c r="O38" s="103"/>
      <c r="P38" s="108" t="s">
        <v>217</v>
      </c>
      <c r="Q38" s="109"/>
      <c r="R38" s="109"/>
      <c r="S38" s="110">
        <v>0</v>
      </c>
      <c r="U38" s="119" t="s">
        <v>217</v>
      </c>
      <c r="V38" s="120"/>
      <c r="W38" s="120"/>
      <c r="X38" s="121">
        <v>0</v>
      </c>
      <c r="Y38" s="114"/>
      <c r="Z38" s="119" t="s">
        <v>217</v>
      </c>
      <c r="AA38" s="120"/>
      <c r="AB38" s="120"/>
      <c r="AC38" s="121">
        <v>0</v>
      </c>
      <c r="AD38" s="114"/>
      <c r="AE38" s="119" t="s">
        <v>217</v>
      </c>
      <c r="AF38" s="120"/>
      <c r="AG38" s="120"/>
      <c r="AH38" s="121">
        <v>0</v>
      </c>
      <c r="AI38" s="114"/>
      <c r="AJ38" s="119" t="s">
        <v>217</v>
      </c>
      <c r="AK38" s="120"/>
      <c r="AL38" s="120"/>
      <c r="AM38" s="121">
        <v>0</v>
      </c>
      <c r="AO38" s="97" t="s">
        <v>217</v>
      </c>
      <c r="AP38" s="98"/>
      <c r="AQ38" s="98"/>
      <c r="AR38" s="99">
        <v>0</v>
      </c>
      <c r="AS38" s="98"/>
      <c r="AT38" s="97" t="s">
        <v>217</v>
      </c>
      <c r="AU38" s="98"/>
      <c r="AV38" s="98"/>
      <c r="AW38" s="99">
        <v>0</v>
      </c>
      <c r="AX38" s="98"/>
      <c r="AY38" s="97" t="s">
        <v>217</v>
      </c>
      <c r="AZ38" s="98"/>
      <c r="BA38" s="98"/>
      <c r="BB38" s="99">
        <v>0</v>
      </c>
      <c r="BC38" s="98"/>
      <c r="BD38" s="97" t="s">
        <v>217</v>
      </c>
      <c r="BE38" s="98"/>
      <c r="BF38" s="98"/>
      <c r="BG38" s="99">
        <v>0</v>
      </c>
      <c r="BI38" s="133" t="s">
        <v>217</v>
      </c>
      <c r="BJ38" s="134"/>
      <c r="BK38" s="134"/>
      <c r="BL38" s="135">
        <v>0</v>
      </c>
      <c r="BM38" s="128"/>
      <c r="BN38" s="133" t="s">
        <v>217</v>
      </c>
      <c r="BO38" s="134"/>
      <c r="BP38" s="134"/>
      <c r="BQ38" s="135">
        <v>0</v>
      </c>
      <c r="BR38" s="128"/>
      <c r="BS38" s="133" t="s">
        <v>217</v>
      </c>
      <c r="BT38" s="134"/>
      <c r="BU38" s="134"/>
      <c r="BV38" s="135">
        <v>0</v>
      </c>
      <c r="BW38" s="128"/>
      <c r="BX38" s="133" t="s">
        <v>217</v>
      </c>
      <c r="BY38" s="134"/>
      <c r="BZ38" s="134"/>
      <c r="CA38" s="135">
        <v>0</v>
      </c>
    </row>
    <row r="39" spans="1:81" x14ac:dyDescent="0.2">
      <c r="A39" s="108" t="s">
        <v>222</v>
      </c>
      <c r="B39" s="109"/>
      <c r="C39" s="109"/>
      <c r="D39" s="110">
        <v>0.09</v>
      </c>
      <c r="E39" s="103"/>
      <c r="F39" s="108" t="s">
        <v>222</v>
      </c>
      <c r="G39" s="109"/>
      <c r="H39" s="109"/>
      <c r="I39" s="110">
        <v>0.09</v>
      </c>
      <c r="J39" s="103"/>
      <c r="K39" s="108" t="s">
        <v>222</v>
      </c>
      <c r="L39" s="109"/>
      <c r="M39" s="109"/>
      <c r="N39" s="110">
        <v>0.09</v>
      </c>
      <c r="O39" s="103"/>
      <c r="P39" s="108" t="s">
        <v>222</v>
      </c>
      <c r="Q39" s="109"/>
      <c r="R39" s="109"/>
      <c r="S39" s="110">
        <v>0.09</v>
      </c>
      <c r="U39" s="119" t="s">
        <v>222</v>
      </c>
      <c r="V39" s="120"/>
      <c r="W39" s="120"/>
      <c r="X39" s="121">
        <v>0.09</v>
      </c>
      <c r="Y39" s="114"/>
      <c r="Z39" s="119" t="s">
        <v>222</v>
      </c>
      <c r="AA39" s="120"/>
      <c r="AB39" s="120"/>
      <c r="AC39" s="121">
        <v>0.09</v>
      </c>
      <c r="AD39" s="114"/>
      <c r="AE39" s="119" t="s">
        <v>222</v>
      </c>
      <c r="AF39" s="120"/>
      <c r="AG39" s="120"/>
      <c r="AH39" s="121">
        <v>0.09</v>
      </c>
      <c r="AI39" s="114"/>
      <c r="AJ39" s="119" t="s">
        <v>222</v>
      </c>
      <c r="AK39" s="120"/>
      <c r="AL39" s="120"/>
      <c r="AM39" s="121">
        <v>0.09</v>
      </c>
      <c r="AO39" s="97" t="s">
        <v>222</v>
      </c>
      <c r="AP39" s="98"/>
      <c r="AQ39" s="98"/>
      <c r="AR39" s="99">
        <v>0.09</v>
      </c>
      <c r="AS39" s="98"/>
      <c r="AT39" s="97" t="s">
        <v>222</v>
      </c>
      <c r="AU39" s="98"/>
      <c r="AV39" s="98"/>
      <c r="AW39" s="99">
        <v>0.09</v>
      </c>
      <c r="AX39" s="98"/>
      <c r="AY39" s="97" t="s">
        <v>222</v>
      </c>
      <c r="AZ39" s="98"/>
      <c r="BA39" s="98"/>
      <c r="BB39" s="99">
        <v>0.09</v>
      </c>
      <c r="BC39" s="98"/>
      <c r="BD39" s="97" t="s">
        <v>222</v>
      </c>
      <c r="BE39" s="98"/>
      <c r="BF39" s="98"/>
      <c r="BG39" s="99">
        <v>0.09</v>
      </c>
      <c r="BI39" s="133" t="s">
        <v>222</v>
      </c>
      <c r="BJ39" s="134"/>
      <c r="BK39" s="134"/>
      <c r="BL39" s="135">
        <v>0.09</v>
      </c>
      <c r="BM39" s="128"/>
      <c r="BN39" s="133" t="s">
        <v>222</v>
      </c>
      <c r="BO39" s="134"/>
      <c r="BP39" s="134"/>
      <c r="BQ39" s="135">
        <v>0.09</v>
      </c>
      <c r="BR39" s="128"/>
      <c r="BS39" s="133" t="s">
        <v>222</v>
      </c>
      <c r="BT39" s="134"/>
      <c r="BU39" s="134"/>
      <c r="BV39" s="135">
        <v>0.09</v>
      </c>
      <c r="BW39" s="128"/>
      <c r="BX39" s="133" t="s">
        <v>222</v>
      </c>
      <c r="BY39" s="134"/>
      <c r="BZ39" s="134"/>
      <c r="CA39" s="135">
        <v>0.09</v>
      </c>
    </row>
    <row r="40" spans="1:81" x14ac:dyDescent="0.2">
      <c r="A40" s="108" t="s">
        <v>218</v>
      </c>
      <c r="B40" s="109">
        <v>90</v>
      </c>
      <c r="C40" s="109">
        <v>1.31</v>
      </c>
      <c r="D40" s="110">
        <f>(B40/1000)/C40</f>
        <v>6.8702290076335867E-2</v>
      </c>
      <c r="E40" s="103"/>
      <c r="F40" s="108" t="s">
        <v>218</v>
      </c>
      <c r="G40" s="109">
        <v>90</v>
      </c>
      <c r="H40" s="109">
        <v>1.31</v>
      </c>
      <c r="I40" s="110">
        <f>(G40/1000)/H40</f>
        <v>6.8702290076335867E-2</v>
      </c>
      <c r="J40" s="103"/>
      <c r="K40" s="108" t="s">
        <v>218</v>
      </c>
      <c r="L40" s="109">
        <v>90</v>
      </c>
      <c r="M40" s="109">
        <v>1.31</v>
      </c>
      <c r="N40" s="110">
        <f>(L40/1000)/M40</f>
        <v>6.8702290076335867E-2</v>
      </c>
      <c r="O40" s="103"/>
      <c r="P40" s="108" t="s">
        <v>218</v>
      </c>
      <c r="Q40" s="109">
        <v>90</v>
      </c>
      <c r="R40" s="109">
        <v>1.31</v>
      </c>
      <c r="S40" s="110">
        <f>(Q40/1000)/R40</f>
        <v>6.8702290076335867E-2</v>
      </c>
      <c r="U40" s="119" t="s">
        <v>218</v>
      </c>
      <c r="V40" s="120">
        <v>90</v>
      </c>
      <c r="W40" s="120">
        <v>1.31</v>
      </c>
      <c r="X40" s="121">
        <f>(V40/1000)/W40</f>
        <v>6.8702290076335867E-2</v>
      </c>
      <c r="Y40" s="114"/>
      <c r="Z40" s="119" t="s">
        <v>218</v>
      </c>
      <c r="AA40" s="120">
        <v>90</v>
      </c>
      <c r="AB40" s="120">
        <v>1.31</v>
      </c>
      <c r="AC40" s="121">
        <f>(AA40/1000)/AB40</f>
        <v>6.8702290076335867E-2</v>
      </c>
      <c r="AD40" s="114"/>
      <c r="AE40" s="119" t="s">
        <v>218</v>
      </c>
      <c r="AF40" s="120">
        <v>90</v>
      </c>
      <c r="AG40" s="120">
        <v>1.31</v>
      </c>
      <c r="AH40" s="121">
        <f>(AF40/1000)/AG40</f>
        <v>6.8702290076335867E-2</v>
      </c>
      <c r="AI40" s="114"/>
      <c r="AJ40" s="119" t="s">
        <v>218</v>
      </c>
      <c r="AK40" s="120">
        <v>90</v>
      </c>
      <c r="AL40" s="120">
        <v>1.31</v>
      </c>
      <c r="AM40" s="121">
        <f>(AK40/1000)/AL40</f>
        <v>6.8702290076335867E-2</v>
      </c>
      <c r="AO40" s="97" t="s">
        <v>218</v>
      </c>
      <c r="AP40" s="98">
        <v>90</v>
      </c>
      <c r="AQ40" s="98">
        <v>1.31</v>
      </c>
      <c r="AR40" s="99">
        <f>(AP40/1000)/AQ40</f>
        <v>6.8702290076335867E-2</v>
      </c>
      <c r="AS40" s="98"/>
      <c r="AT40" s="97" t="s">
        <v>218</v>
      </c>
      <c r="AU40" s="98">
        <v>90</v>
      </c>
      <c r="AV40" s="98">
        <v>1.31</v>
      </c>
      <c r="AW40" s="99">
        <f>(AU40/1000)/AV40</f>
        <v>6.8702290076335867E-2</v>
      </c>
      <c r="AX40" s="98"/>
      <c r="AY40" s="97" t="s">
        <v>218</v>
      </c>
      <c r="AZ40" s="98">
        <v>90</v>
      </c>
      <c r="BA40" s="98">
        <v>1.31</v>
      </c>
      <c r="BB40" s="99">
        <f>(AZ40/1000)/BA40</f>
        <v>6.8702290076335867E-2</v>
      </c>
      <c r="BC40" s="98"/>
      <c r="BD40" s="97" t="s">
        <v>218</v>
      </c>
      <c r="BE40" s="98">
        <v>90</v>
      </c>
      <c r="BF40" s="98">
        <v>1.31</v>
      </c>
      <c r="BG40" s="99">
        <f>(BE40/1000)/BF40</f>
        <v>6.8702290076335867E-2</v>
      </c>
      <c r="BI40" s="133" t="s">
        <v>218</v>
      </c>
      <c r="BJ40" s="134">
        <v>90</v>
      </c>
      <c r="BK40" s="134">
        <v>1.31</v>
      </c>
      <c r="BL40" s="135">
        <f>(BJ40/1000)/BK40</f>
        <v>6.8702290076335867E-2</v>
      </c>
      <c r="BM40" s="128"/>
      <c r="BN40" s="133" t="s">
        <v>218</v>
      </c>
      <c r="BO40" s="134">
        <v>90</v>
      </c>
      <c r="BP40" s="134">
        <v>1.31</v>
      </c>
      <c r="BQ40" s="135">
        <f>(BO40/1000)/BP40</f>
        <v>6.8702290076335867E-2</v>
      </c>
      <c r="BR40" s="128"/>
      <c r="BS40" s="133" t="s">
        <v>218</v>
      </c>
      <c r="BT40" s="134">
        <v>90</v>
      </c>
      <c r="BU40" s="134">
        <v>1.31</v>
      </c>
      <c r="BV40" s="135">
        <f>(BT40/1000)/BU40</f>
        <v>6.8702290076335867E-2</v>
      </c>
      <c r="BW40" s="128"/>
      <c r="BX40" s="133" t="s">
        <v>218</v>
      </c>
      <c r="BY40" s="134">
        <v>90</v>
      </c>
      <c r="BZ40" s="134">
        <v>1.31</v>
      </c>
      <c r="CA40" s="135">
        <f>(BY40/1000)/BZ40</f>
        <v>6.8702290076335867E-2</v>
      </c>
    </row>
    <row r="41" spans="1:81" x14ac:dyDescent="0.2">
      <c r="A41" s="108" t="s">
        <v>219</v>
      </c>
      <c r="B41" s="109"/>
      <c r="C41" s="109"/>
      <c r="D41" s="110">
        <v>0.04</v>
      </c>
      <c r="E41" s="103"/>
      <c r="F41" s="108" t="s">
        <v>219</v>
      </c>
      <c r="G41" s="109"/>
      <c r="H41" s="109"/>
      <c r="I41" s="110">
        <v>0.04</v>
      </c>
      <c r="J41" s="103"/>
      <c r="K41" s="108" t="s">
        <v>219</v>
      </c>
      <c r="L41" s="109"/>
      <c r="M41" s="109"/>
      <c r="N41" s="110">
        <v>0.04</v>
      </c>
      <c r="O41" s="103"/>
      <c r="P41" s="108" t="s">
        <v>219</v>
      </c>
      <c r="Q41" s="109"/>
      <c r="R41" s="109"/>
      <c r="S41" s="110">
        <v>0.04</v>
      </c>
      <c r="U41" s="119" t="s">
        <v>219</v>
      </c>
      <c r="V41" s="120"/>
      <c r="W41" s="120"/>
      <c r="X41" s="121">
        <v>0.04</v>
      </c>
      <c r="Y41" s="114"/>
      <c r="Z41" s="119" t="s">
        <v>219</v>
      </c>
      <c r="AA41" s="120"/>
      <c r="AB41" s="120"/>
      <c r="AC41" s="121">
        <v>0.04</v>
      </c>
      <c r="AD41" s="114"/>
      <c r="AE41" s="119" t="s">
        <v>219</v>
      </c>
      <c r="AF41" s="120"/>
      <c r="AG41" s="120"/>
      <c r="AH41" s="121">
        <v>0.04</v>
      </c>
      <c r="AI41" s="114"/>
      <c r="AJ41" s="119" t="s">
        <v>219</v>
      </c>
      <c r="AK41" s="120"/>
      <c r="AL41" s="120"/>
      <c r="AM41" s="121">
        <v>0.04</v>
      </c>
      <c r="AO41" s="97" t="s">
        <v>219</v>
      </c>
      <c r="AP41" s="98"/>
      <c r="AQ41" s="98"/>
      <c r="AR41" s="99">
        <v>0.04</v>
      </c>
      <c r="AS41" s="98"/>
      <c r="AT41" s="97" t="s">
        <v>219</v>
      </c>
      <c r="AU41" s="98"/>
      <c r="AV41" s="98"/>
      <c r="AW41" s="99">
        <v>0.04</v>
      </c>
      <c r="AX41" s="98"/>
      <c r="AY41" s="97" t="s">
        <v>219</v>
      </c>
      <c r="AZ41" s="98"/>
      <c r="BA41" s="98"/>
      <c r="BB41" s="99">
        <v>0.04</v>
      </c>
      <c r="BC41" s="98"/>
      <c r="BD41" s="97" t="s">
        <v>219</v>
      </c>
      <c r="BE41" s="98"/>
      <c r="BF41" s="98"/>
      <c r="BG41" s="99">
        <v>0.04</v>
      </c>
      <c r="BI41" s="133" t="s">
        <v>219</v>
      </c>
      <c r="BJ41" s="134"/>
      <c r="BK41" s="134"/>
      <c r="BL41" s="135">
        <v>0.04</v>
      </c>
      <c r="BM41" s="128"/>
      <c r="BN41" s="133" t="s">
        <v>219</v>
      </c>
      <c r="BO41" s="134"/>
      <c r="BP41" s="134"/>
      <c r="BQ41" s="135">
        <v>0.04</v>
      </c>
      <c r="BR41" s="128"/>
      <c r="BS41" s="133" t="s">
        <v>219</v>
      </c>
      <c r="BT41" s="134"/>
      <c r="BU41" s="134"/>
      <c r="BV41" s="135">
        <v>0.04</v>
      </c>
      <c r="BW41" s="128"/>
      <c r="BX41" s="133" t="s">
        <v>219</v>
      </c>
      <c r="BY41" s="134"/>
      <c r="BZ41" s="134"/>
      <c r="CA41" s="135">
        <v>0.04</v>
      </c>
    </row>
    <row r="42" spans="1:81" x14ac:dyDescent="0.2">
      <c r="A42" s="108"/>
      <c r="B42" s="109"/>
      <c r="C42" s="109"/>
      <c r="D42" s="110"/>
      <c r="E42" s="103"/>
      <c r="F42" s="108"/>
      <c r="G42" s="109"/>
      <c r="H42" s="109"/>
      <c r="I42" s="110"/>
      <c r="J42" s="103"/>
      <c r="K42" s="108"/>
      <c r="L42" s="109"/>
      <c r="M42" s="109"/>
      <c r="N42" s="110"/>
      <c r="O42" s="103"/>
      <c r="P42" s="108"/>
      <c r="Q42" s="109"/>
      <c r="R42" s="109"/>
      <c r="S42" s="110"/>
      <c r="U42" s="119"/>
      <c r="V42" s="120"/>
      <c r="W42" s="120"/>
      <c r="X42" s="121"/>
      <c r="Y42" s="114"/>
      <c r="Z42" s="119"/>
      <c r="AA42" s="120"/>
      <c r="AB42" s="120"/>
      <c r="AC42" s="121"/>
      <c r="AD42" s="114"/>
      <c r="AE42" s="119"/>
      <c r="AF42" s="120"/>
      <c r="AG42" s="120"/>
      <c r="AH42" s="121"/>
      <c r="AI42" s="114"/>
      <c r="AJ42" s="119"/>
      <c r="AK42" s="120"/>
      <c r="AL42" s="120"/>
      <c r="AM42" s="121"/>
      <c r="AO42" s="97"/>
      <c r="AP42" s="98"/>
      <c r="AQ42" s="98"/>
      <c r="AR42" s="99"/>
      <c r="AS42" s="98"/>
      <c r="AT42" s="97"/>
      <c r="AU42" s="98"/>
      <c r="AV42" s="98"/>
      <c r="AW42" s="99"/>
      <c r="AX42" s="98"/>
      <c r="AY42" s="97"/>
      <c r="AZ42" s="98"/>
      <c r="BA42" s="98"/>
      <c r="BB42" s="99"/>
      <c r="BC42" s="98"/>
      <c r="BD42" s="97"/>
      <c r="BE42" s="98"/>
      <c r="BF42" s="98"/>
      <c r="BG42" s="99"/>
      <c r="BI42" s="133"/>
      <c r="BJ42" s="134"/>
      <c r="BK42" s="134"/>
      <c r="BL42" s="135"/>
      <c r="BM42" s="128"/>
      <c r="BN42" s="133"/>
      <c r="BO42" s="134"/>
      <c r="BP42" s="134"/>
      <c r="BQ42" s="135"/>
      <c r="BR42" s="128"/>
      <c r="BS42" s="133"/>
      <c r="BT42" s="134"/>
      <c r="BU42" s="134"/>
      <c r="BV42" s="135"/>
      <c r="BW42" s="128"/>
      <c r="BX42" s="133"/>
      <c r="BY42" s="134"/>
      <c r="BZ42" s="134"/>
      <c r="CA42" s="135"/>
    </row>
    <row r="43" spans="1:81" x14ac:dyDescent="0.2">
      <c r="A43" s="108" t="s">
        <v>220</v>
      </c>
      <c r="B43" s="109"/>
      <c r="C43" s="109"/>
      <c r="D43" s="110">
        <v>-0.1</v>
      </c>
      <c r="E43" s="103"/>
      <c r="F43" s="108" t="s">
        <v>220</v>
      </c>
      <c r="G43" s="109"/>
      <c r="H43" s="109"/>
      <c r="I43" s="110">
        <v>-0.1</v>
      </c>
      <c r="J43" s="103"/>
      <c r="K43" s="108" t="s">
        <v>220</v>
      </c>
      <c r="L43" s="109"/>
      <c r="M43" s="109"/>
      <c r="N43" s="110">
        <v>-0.1</v>
      </c>
      <c r="O43" s="103"/>
      <c r="P43" s="108" t="s">
        <v>220</v>
      </c>
      <c r="Q43" s="109"/>
      <c r="R43" s="109"/>
      <c r="S43" s="110">
        <v>-0.1</v>
      </c>
      <c r="U43" s="119" t="s">
        <v>220</v>
      </c>
      <c r="V43" s="120"/>
      <c r="W43" s="120"/>
      <c r="X43" s="121">
        <v>-0.1</v>
      </c>
      <c r="Y43" s="114"/>
      <c r="Z43" s="119" t="s">
        <v>220</v>
      </c>
      <c r="AA43" s="120"/>
      <c r="AB43" s="120"/>
      <c r="AC43" s="121">
        <v>-0.1</v>
      </c>
      <c r="AD43" s="114"/>
      <c r="AE43" s="119" t="s">
        <v>220</v>
      </c>
      <c r="AF43" s="120"/>
      <c r="AG43" s="120"/>
      <c r="AH43" s="121">
        <v>-0.1</v>
      </c>
      <c r="AI43" s="114"/>
      <c r="AJ43" s="119" t="s">
        <v>220</v>
      </c>
      <c r="AK43" s="120"/>
      <c r="AL43" s="120"/>
      <c r="AM43" s="121">
        <v>-0.1</v>
      </c>
      <c r="AO43" s="97" t="s">
        <v>220</v>
      </c>
      <c r="AP43" s="98"/>
      <c r="AQ43" s="98"/>
      <c r="AR43" s="99">
        <v>-0.1</v>
      </c>
      <c r="AS43" s="98"/>
      <c r="AT43" s="97" t="s">
        <v>220</v>
      </c>
      <c r="AU43" s="98"/>
      <c r="AV43" s="98"/>
      <c r="AW43" s="99">
        <v>-0.1</v>
      </c>
      <c r="AX43" s="98"/>
      <c r="AY43" s="97" t="s">
        <v>220</v>
      </c>
      <c r="AZ43" s="98"/>
      <c r="BA43" s="98"/>
      <c r="BB43" s="99">
        <v>-0.1</v>
      </c>
      <c r="BC43" s="98"/>
      <c r="BD43" s="97" t="s">
        <v>220</v>
      </c>
      <c r="BE43" s="98"/>
      <c r="BF43" s="98"/>
      <c r="BG43" s="99">
        <v>-0.1</v>
      </c>
      <c r="BI43" s="133" t="s">
        <v>220</v>
      </c>
      <c r="BJ43" s="134"/>
      <c r="BK43" s="134"/>
      <c r="BL43" s="135">
        <v>-0.1</v>
      </c>
      <c r="BM43" s="128"/>
      <c r="BN43" s="133" t="s">
        <v>220</v>
      </c>
      <c r="BO43" s="134"/>
      <c r="BP43" s="134"/>
      <c r="BQ43" s="135">
        <v>-0.1</v>
      </c>
      <c r="BR43" s="128"/>
      <c r="BS43" s="133" t="s">
        <v>220</v>
      </c>
      <c r="BT43" s="134"/>
      <c r="BU43" s="134"/>
      <c r="BV43" s="135">
        <v>-0.1</v>
      </c>
      <c r="BW43" s="128"/>
      <c r="BX43" s="133" t="s">
        <v>220</v>
      </c>
      <c r="BY43" s="134"/>
      <c r="BZ43" s="134"/>
      <c r="CA43" s="135">
        <v>-0.1</v>
      </c>
    </row>
    <row r="44" spans="1:81" x14ac:dyDescent="0.2">
      <c r="A44" s="108"/>
      <c r="B44" s="109"/>
      <c r="C44" s="109"/>
      <c r="D44" s="110"/>
      <c r="E44" s="103"/>
      <c r="F44" s="108"/>
      <c r="G44" s="109"/>
      <c r="H44" s="109"/>
      <c r="I44" s="110"/>
      <c r="J44" s="103"/>
      <c r="K44" s="108"/>
      <c r="L44" s="109"/>
      <c r="M44" s="109"/>
      <c r="N44" s="110"/>
      <c r="O44" s="103"/>
      <c r="P44" s="108"/>
      <c r="Q44" s="109"/>
      <c r="R44" s="109"/>
      <c r="S44" s="110"/>
      <c r="U44" s="119"/>
      <c r="V44" s="120"/>
      <c r="W44" s="120"/>
      <c r="X44" s="121"/>
      <c r="Y44" s="114"/>
      <c r="Z44" s="119"/>
      <c r="AA44" s="120"/>
      <c r="AB44" s="120"/>
      <c r="AC44" s="121"/>
      <c r="AD44" s="114"/>
      <c r="AE44" s="119"/>
      <c r="AF44" s="120"/>
      <c r="AG44" s="120"/>
      <c r="AH44" s="121"/>
      <c r="AI44" s="114"/>
      <c r="AJ44" s="119"/>
      <c r="AK44" s="120"/>
      <c r="AL44" s="120"/>
      <c r="AM44" s="121"/>
      <c r="AO44" s="97"/>
      <c r="AP44" s="98"/>
      <c r="AQ44" s="98"/>
      <c r="AR44" s="99"/>
      <c r="AS44" s="98"/>
      <c r="AT44" s="97"/>
      <c r="AU44" s="98"/>
      <c r="AV44" s="98"/>
      <c r="AW44" s="99"/>
      <c r="AX44" s="98"/>
      <c r="AY44" s="97"/>
      <c r="AZ44" s="98"/>
      <c r="BA44" s="98"/>
      <c r="BB44" s="99"/>
      <c r="BC44" s="98"/>
      <c r="BD44" s="97"/>
      <c r="BE44" s="98"/>
      <c r="BF44" s="98"/>
      <c r="BG44" s="99"/>
      <c r="BI44" s="133"/>
      <c r="BJ44" s="134"/>
      <c r="BK44" s="134"/>
      <c r="BL44" s="135"/>
      <c r="BM44" s="128"/>
      <c r="BN44" s="133"/>
      <c r="BO44" s="134"/>
      <c r="BP44" s="134"/>
      <c r="BQ44" s="135"/>
      <c r="BR44" s="128"/>
      <c r="BS44" s="133"/>
      <c r="BT44" s="134"/>
      <c r="BU44" s="134"/>
      <c r="BV44" s="135"/>
      <c r="BW44" s="128"/>
      <c r="BX44" s="133"/>
      <c r="BY44" s="134"/>
      <c r="BZ44" s="134"/>
      <c r="CA44" s="135"/>
    </row>
    <row r="45" spans="1:81" ht="18.75" x14ac:dyDescent="0.35">
      <c r="A45" s="111" t="s">
        <v>221</v>
      </c>
      <c r="B45" s="112"/>
      <c r="C45" s="112"/>
      <c r="D45" s="165">
        <f>FLOOR(SUM(D35:D43),0.05)</f>
        <v>3</v>
      </c>
      <c r="E45" s="103"/>
      <c r="F45" s="111" t="s">
        <v>221</v>
      </c>
      <c r="G45" s="112"/>
      <c r="H45" s="112"/>
      <c r="I45" s="113">
        <f>FLOOR(SUM(I35:I43),0.05)</f>
        <v>3.6500000000000004</v>
      </c>
      <c r="J45" s="103"/>
      <c r="K45" s="111" t="s">
        <v>221</v>
      </c>
      <c r="L45" s="112"/>
      <c r="M45" s="112"/>
      <c r="N45" s="165">
        <f>FLOOR(SUM(N35:N43),0.05)</f>
        <v>4.1000000000000005</v>
      </c>
      <c r="O45" s="103"/>
      <c r="P45" s="111" t="s">
        <v>221</v>
      </c>
      <c r="Q45" s="112"/>
      <c r="R45" s="112"/>
      <c r="S45" s="165">
        <f>FLOOR(SUM(S35:S43),0.05)</f>
        <v>4.6000000000000005</v>
      </c>
      <c r="U45" s="122" t="s">
        <v>221</v>
      </c>
      <c r="V45" s="123"/>
      <c r="W45" s="123"/>
      <c r="X45" s="168">
        <f>FLOOR(SUM(X35:X43),0.05)</f>
        <v>3</v>
      </c>
      <c r="Y45" s="155"/>
      <c r="Z45" s="156" t="s">
        <v>221</v>
      </c>
      <c r="AA45" s="157"/>
      <c r="AB45" s="157"/>
      <c r="AC45" s="168">
        <f>FLOOR(SUM(AC35:AC43),0.05)</f>
        <v>3.6500000000000004</v>
      </c>
      <c r="AD45" s="155"/>
      <c r="AE45" s="156" t="s">
        <v>221</v>
      </c>
      <c r="AF45" s="157"/>
      <c r="AG45" s="157"/>
      <c r="AH45" s="168">
        <f>FLOOR(SUM(AH35:AH43),0.05)</f>
        <v>4.1000000000000005</v>
      </c>
      <c r="AI45" s="155"/>
      <c r="AJ45" s="156" t="s">
        <v>221</v>
      </c>
      <c r="AK45" s="157"/>
      <c r="AL45" s="157"/>
      <c r="AM45" s="168">
        <f>FLOOR(SUM(AM35:AM43),0.05)</f>
        <v>4.6000000000000005</v>
      </c>
      <c r="AN45" s="2"/>
      <c r="AO45" s="158" t="s">
        <v>221</v>
      </c>
      <c r="AP45" s="159"/>
      <c r="AQ45" s="159"/>
      <c r="AR45" s="170">
        <f>FLOOR(SUM(AR35:AR43),0.05)</f>
        <v>3.2</v>
      </c>
      <c r="AS45" s="160"/>
      <c r="AT45" s="158" t="s">
        <v>221</v>
      </c>
      <c r="AU45" s="159"/>
      <c r="AV45" s="159"/>
      <c r="AW45" s="170">
        <f>FLOOR(SUM(AW35:AW43),0.05)</f>
        <v>3.8000000000000003</v>
      </c>
      <c r="AX45" s="160"/>
      <c r="AY45" s="158" t="s">
        <v>221</v>
      </c>
      <c r="AZ45" s="159"/>
      <c r="BA45" s="159"/>
      <c r="BB45" s="170">
        <f>FLOOR(SUM(BB35:BB43),0.05)</f>
        <v>4.25</v>
      </c>
      <c r="BC45" s="160"/>
      <c r="BD45" s="158" t="s">
        <v>221</v>
      </c>
      <c r="BE45" s="159"/>
      <c r="BF45" s="159"/>
      <c r="BG45" s="170">
        <f>FLOOR(SUM(BG35:BG43),0.05)</f>
        <v>4.75</v>
      </c>
      <c r="BH45" s="2"/>
      <c r="BI45" s="161" t="s">
        <v>221</v>
      </c>
      <c r="BJ45" s="162"/>
      <c r="BK45" s="162"/>
      <c r="BL45" s="172">
        <f>FLOOR(SUM(BL35:BL43),0.05)</f>
        <v>3.35</v>
      </c>
      <c r="BM45" s="163"/>
      <c r="BN45" s="161" t="s">
        <v>221</v>
      </c>
      <c r="BO45" s="162"/>
      <c r="BP45" s="162"/>
      <c r="BQ45" s="172">
        <f>FLOOR(SUM(BQ35:BQ43),0.05)</f>
        <v>4</v>
      </c>
      <c r="BR45" s="163"/>
      <c r="BS45" s="161" t="s">
        <v>221</v>
      </c>
      <c r="BT45" s="162"/>
      <c r="BU45" s="162"/>
      <c r="BV45" s="172">
        <f>FLOOR(SUM(BV35:BV43),0.05)</f>
        <v>4.45</v>
      </c>
      <c r="BW45" s="163"/>
      <c r="BX45" s="161" t="s">
        <v>221</v>
      </c>
      <c r="BY45" s="162"/>
      <c r="BZ45" s="162"/>
      <c r="CA45" s="172">
        <f>FLOOR(SUM(CA35:CA43),0.05)</f>
        <v>4.95</v>
      </c>
      <c r="CB45" s="2"/>
      <c r="CC45" s="2"/>
    </row>
    <row r="46" spans="1:81" x14ac:dyDescent="0.2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BC46" s="25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</row>
    <row r="47" spans="1:81" x14ac:dyDescent="0.2">
      <c r="A47" s="104"/>
      <c r="B47" s="105" t="s">
        <v>52</v>
      </c>
      <c r="C47" s="106" t="s">
        <v>53</v>
      </c>
      <c r="D47" s="107" t="s">
        <v>71</v>
      </c>
      <c r="E47" s="103"/>
      <c r="F47" s="104"/>
      <c r="G47" s="105" t="s">
        <v>52</v>
      </c>
      <c r="H47" s="106" t="s">
        <v>53</v>
      </c>
      <c r="I47" s="107" t="s">
        <v>71</v>
      </c>
      <c r="J47" s="103"/>
      <c r="K47" s="104"/>
      <c r="L47" s="105" t="s">
        <v>52</v>
      </c>
      <c r="M47" s="106" t="s">
        <v>53</v>
      </c>
      <c r="N47" s="107" t="s">
        <v>71</v>
      </c>
      <c r="O47" s="103"/>
      <c r="P47" s="104"/>
      <c r="Q47" s="105" t="s">
        <v>52</v>
      </c>
      <c r="R47" s="106" t="s">
        <v>53</v>
      </c>
      <c r="S47" s="107" t="s">
        <v>71</v>
      </c>
      <c r="BI47" s="129"/>
      <c r="BJ47" s="130" t="s">
        <v>52</v>
      </c>
      <c r="BK47" s="131" t="s">
        <v>53</v>
      </c>
      <c r="BL47" s="132" t="s">
        <v>71</v>
      </c>
      <c r="BM47" s="128"/>
      <c r="BN47" s="129"/>
      <c r="BO47" s="130" t="s">
        <v>52</v>
      </c>
      <c r="BP47" s="131" t="s">
        <v>53</v>
      </c>
      <c r="BQ47" s="132" t="s">
        <v>71</v>
      </c>
      <c r="BR47" s="128"/>
      <c r="BS47" s="129"/>
      <c r="BT47" s="130" t="s">
        <v>52</v>
      </c>
      <c r="BU47" s="131" t="s">
        <v>53</v>
      </c>
      <c r="BV47" s="132" t="s">
        <v>71</v>
      </c>
      <c r="BW47" s="128"/>
      <c r="BX47" s="129"/>
      <c r="BY47" s="130" t="s">
        <v>52</v>
      </c>
      <c r="BZ47" s="131" t="s">
        <v>53</v>
      </c>
      <c r="CA47" s="132" t="s">
        <v>71</v>
      </c>
    </row>
    <row r="48" spans="1:81" x14ac:dyDescent="0.2">
      <c r="A48" s="108"/>
      <c r="B48" s="109" t="s">
        <v>54</v>
      </c>
      <c r="C48" s="109" t="s">
        <v>55</v>
      </c>
      <c r="D48" s="110" t="s">
        <v>1</v>
      </c>
      <c r="E48" s="103"/>
      <c r="F48" s="108"/>
      <c r="G48" s="109" t="s">
        <v>54</v>
      </c>
      <c r="H48" s="109" t="s">
        <v>55</v>
      </c>
      <c r="I48" s="110" t="s">
        <v>1</v>
      </c>
      <c r="J48" s="103"/>
      <c r="K48" s="108"/>
      <c r="L48" s="109" t="s">
        <v>54</v>
      </c>
      <c r="M48" s="109" t="s">
        <v>55</v>
      </c>
      <c r="N48" s="110" t="s">
        <v>1</v>
      </c>
      <c r="O48" s="103"/>
      <c r="P48" s="108"/>
      <c r="Q48" s="109" t="s">
        <v>54</v>
      </c>
      <c r="R48" s="109" t="s">
        <v>55</v>
      </c>
      <c r="S48" s="110" t="s">
        <v>1</v>
      </c>
      <c r="BI48" s="133"/>
      <c r="BJ48" s="134" t="s">
        <v>54</v>
      </c>
      <c r="BK48" s="134" t="s">
        <v>55</v>
      </c>
      <c r="BL48" s="135" t="s">
        <v>1</v>
      </c>
      <c r="BM48" s="128"/>
      <c r="BN48" s="133"/>
      <c r="BO48" s="134" t="s">
        <v>54</v>
      </c>
      <c r="BP48" s="134" t="s">
        <v>55</v>
      </c>
      <c r="BQ48" s="135" t="s">
        <v>1</v>
      </c>
      <c r="BR48" s="128"/>
      <c r="BS48" s="133"/>
      <c r="BT48" s="134" t="s">
        <v>54</v>
      </c>
      <c r="BU48" s="134" t="s">
        <v>55</v>
      </c>
      <c r="BV48" s="135" t="s">
        <v>1</v>
      </c>
      <c r="BW48" s="128"/>
      <c r="BX48" s="133"/>
      <c r="BY48" s="134" t="s">
        <v>54</v>
      </c>
      <c r="BZ48" s="134" t="s">
        <v>55</v>
      </c>
      <c r="CA48" s="135" t="s">
        <v>1</v>
      </c>
    </row>
    <row r="49" spans="1:80" x14ac:dyDescent="0.2">
      <c r="A49" s="108" t="s">
        <v>214</v>
      </c>
      <c r="B49" s="109"/>
      <c r="C49" s="109"/>
      <c r="D49" s="110">
        <v>0.13</v>
      </c>
      <c r="E49" s="103"/>
      <c r="F49" s="108" t="s">
        <v>214</v>
      </c>
      <c r="G49" s="109"/>
      <c r="H49" s="109"/>
      <c r="I49" s="110">
        <v>0.13</v>
      </c>
      <c r="J49" s="103"/>
      <c r="K49" s="108" t="s">
        <v>214</v>
      </c>
      <c r="L49" s="109"/>
      <c r="M49" s="109"/>
      <c r="N49" s="110">
        <v>0.13</v>
      </c>
      <c r="O49" s="103"/>
      <c r="P49" s="108" t="s">
        <v>214</v>
      </c>
      <c r="Q49" s="109"/>
      <c r="R49" s="109"/>
      <c r="S49" s="110">
        <v>0.13</v>
      </c>
      <c r="BI49" s="133" t="s">
        <v>214</v>
      </c>
      <c r="BJ49" s="134"/>
      <c r="BK49" s="134"/>
      <c r="BL49" s="135">
        <v>0.13</v>
      </c>
      <c r="BM49" s="128"/>
      <c r="BN49" s="133" t="s">
        <v>214</v>
      </c>
      <c r="BO49" s="134"/>
      <c r="BP49" s="134"/>
      <c r="BQ49" s="135">
        <v>0.13</v>
      </c>
      <c r="BR49" s="128"/>
      <c r="BS49" s="133" t="s">
        <v>214</v>
      </c>
      <c r="BT49" s="134"/>
      <c r="BU49" s="134"/>
      <c r="BV49" s="135">
        <v>0.13</v>
      </c>
      <c r="BW49" s="128"/>
      <c r="BX49" s="133" t="s">
        <v>214</v>
      </c>
      <c r="BY49" s="134"/>
      <c r="BZ49" s="134"/>
      <c r="CA49" s="135">
        <v>0.13</v>
      </c>
    </row>
    <row r="50" spans="1:80" x14ac:dyDescent="0.2">
      <c r="A50" s="108" t="s">
        <v>215</v>
      </c>
      <c r="B50" s="109">
        <v>130</v>
      </c>
      <c r="C50" s="109">
        <v>0.13</v>
      </c>
      <c r="D50" s="110">
        <f>(B50/1000)/C50</f>
        <v>1</v>
      </c>
      <c r="E50" s="103"/>
      <c r="F50" s="108" t="s">
        <v>215</v>
      </c>
      <c r="G50" s="109">
        <v>130</v>
      </c>
      <c r="H50" s="109">
        <v>0.13</v>
      </c>
      <c r="I50" s="110">
        <f>(G50/1000)/H50</f>
        <v>1</v>
      </c>
      <c r="J50" s="103"/>
      <c r="K50" s="108" t="s">
        <v>215</v>
      </c>
      <c r="L50" s="109">
        <v>130</v>
      </c>
      <c r="M50" s="109">
        <v>0.13</v>
      </c>
      <c r="N50" s="110">
        <f>(L50/1000)/M50</f>
        <v>1</v>
      </c>
      <c r="O50" s="103"/>
      <c r="P50" s="108" t="s">
        <v>215</v>
      </c>
      <c r="Q50" s="109">
        <v>130</v>
      </c>
      <c r="R50" s="109">
        <v>0.13</v>
      </c>
      <c r="S50" s="110">
        <f>(Q50/1000)/R50</f>
        <v>1</v>
      </c>
      <c r="BI50" s="133" t="s">
        <v>215</v>
      </c>
      <c r="BJ50" s="134">
        <v>205</v>
      </c>
      <c r="BK50" s="134">
        <v>0.13</v>
      </c>
      <c r="BL50" s="135">
        <f>(BJ50/1000)/BK50</f>
        <v>1.5769230769230769</v>
      </c>
      <c r="BM50" s="128"/>
      <c r="BN50" s="133" t="s">
        <v>215</v>
      </c>
      <c r="BO50" s="134">
        <v>205</v>
      </c>
      <c r="BP50" s="134">
        <v>0.13</v>
      </c>
      <c r="BQ50" s="135">
        <f>(BO50/1000)/BP50</f>
        <v>1.5769230769230769</v>
      </c>
      <c r="BR50" s="128"/>
      <c r="BS50" s="133" t="s">
        <v>215</v>
      </c>
      <c r="BT50" s="134">
        <v>205</v>
      </c>
      <c r="BU50" s="134">
        <v>0.13</v>
      </c>
      <c r="BV50" s="135">
        <f>(BT50/1000)/BU50</f>
        <v>1.5769230769230769</v>
      </c>
      <c r="BW50" s="128"/>
      <c r="BX50" s="133" t="s">
        <v>215</v>
      </c>
      <c r="BY50" s="134">
        <v>205</v>
      </c>
      <c r="BZ50" s="134">
        <v>0.13</v>
      </c>
      <c r="CA50" s="135">
        <f>(BY50/1000)/BZ50</f>
        <v>1.5769230769230769</v>
      </c>
    </row>
    <row r="51" spans="1:80" x14ac:dyDescent="0.2">
      <c r="A51" s="108" t="s">
        <v>216</v>
      </c>
      <c r="B51" s="109">
        <v>60</v>
      </c>
      <c r="C51" s="109">
        <v>3.1E-2</v>
      </c>
      <c r="D51" s="110">
        <f>(B51/1000)/C51</f>
        <v>1.9354838709677418</v>
      </c>
      <c r="E51" s="103"/>
      <c r="F51" s="108" t="s">
        <v>216</v>
      </c>
      <c r="G51" s="109">
        <v>79</v>
      </c>
      <c r="H51" s="109">
        <v>3.1E-2</v>
      </c>
      <c r="I51" s="110">
        <f>(G51/1000)/H51</f>
        <v>2.5483870967741935</v>
      </c>
      <c r="J51" s="103"/>
      <c r="K51" s="108" t="s">
        <v>216</v>
      </c>
      <c r="L51" s="109">
        <v>93</v>
      </c>
      <c r="M51" s="109">
        <v>3.1E-2</v>
      </c>
      <c r="N51" s="110">
        <f>(L51/1000)/M51</f>
        <v>3</v>
      </c>
      <c r="O51" s="103"/>
      <c r="P51" s="108" t="s">
        <v>216</v>
      </c>
      <c r="Q51" s="109">
        <v>109</v>
      </c>
      <c r="R51" s="109">
        <v>3.1E-2</v>
      </c>
      <c r="S51" s="110">
        <f>(Q51/1000)/R51</f>
        <v>3.5161290322580645</v>
      </c>
      <c r="BI51" s="133" t="s">
        <v>216</v>
      </c>
      <c r="BJ51" s="134">
        <v>60</v>
      </c>
      <c r="BK51" s="134">
        <v>3.1E-2</v>
      </c>
      <c r="BL51" s="135">
        <f>(BJ51/1000)/BK51</f>
        <v>1.9354838709677418</v>
      </c>
      <c r="BM51" s="128"/>
      <c r="BN51" s="133" t="s">
        <v>216</v>
      </c>
      <c r="BO51" s="134">
        <v>79</v>
      </c>
      <c r="BP51" s="134">
        <v>3.1E-2</v>
      </c>
      <c r="BQ51" s="135">
        <f>(BO51/1000)/BP51</f>
        <v>2.5483870967741935</v>
      </c>
      <c r="BR51" s="128"/>
      <c r="BS51" s="133" t="s">
        <v>216</v>
      </c>
      <c r="BT51" s="134">
        <v>93</v>
      </c>
      <c r="BU51" s="134">
        <v>3.1E-2</v>
      </c>
      <c r="BV51" s="135">
        <f>(BT51/1000)/BU51</f>
        <v>3</v>
      </c>
      <c r="BW51" s="128"/>
      <c r="BX51" s="133" t="s">
        <v>216</v>
      </c>
      <c r="BY51" s="134">
        <v>109</v>
      </c>
      <c r="BZ51" s="134">
        <v>3.1E-2</v>
      </c>
      <c r="CA51" s="135">
        <f>(BY51/1000)/BZ51</f>
        <v>3.5161290322580645</v>
      </c>
    </row>
    <row r="52" spans="1:80" x14ac:dyDescent="0.2">
      <c r="A52" s="108" t="s">
        <v>217</v>
      </c>
      <c r="B52" s="109"/>
      <c r="C52" s="109"/>
      <c r="D52" s="110">
        <v>0</v>
      </c>
      <c r="E52" s="103"/>
      <c r="F52" s="108" t="s">
        <v>217</v>
      </c>
      <c r="G52" s="109"/>
      <c r="H52" s="109"/>
      <c r="I52" s="110">
        <v>0</v>
      </c>
      <c r="J52" s="103"/>
      <c r="K52" s="108" t="s">
        <v>217</v>
      </c>
      <c r="L52" s="109"/>
      <c r="M52" s="109"/>
      <c r="N52" s="110">
        <v>0</v>
      </c>
      <c r="O52" s="103"/>
      <c r="P52" s="108" t="s">
        <v>217</v>
      </c>
      <c r="Q52" s="109"/>
      <c r="R52" s="109"/>
      <c r="S52" s="110">
        <v>0</v>
      </c>
      <c r="BI52" s="133" t="s">
        <v>217</v>
      </c>
      <c r="BJ52" s="134"/>
      <c r="BK52" s="134"/>
      <c r="BL52" s="135">
        <v>0</v>
      </c>
      <c r="BM52" s="128"/>
      <c r="BN52" s="133" t="s">
        <v>217</v>
      </c>
      <c r="BO52" s="134"/>
      <c r="BP52" s="134"/>
      <c r="BQ52" s="135">
        <v>0</v>
      </c>
      <c r="BR52" s="128"/>
      <c r="BS52" s="133" t="s">
        <v>217</v>
      </c>
      <c r="BT52" s="134"/>
      <c r="BU52" s="134"/>
      <c r="BV52" s="135">
        <v>0</v>
      </c>
      <c r="BW52" s="128"/>
      <c r="BX52" s="133" t="s">
        <v>217</v>
      </c>
      <c r="BY52" s="134"/>
      <c r="BZ52" s="134"/>
      <c r="CA52" s="135">
        <v>0</v>
      </c>
    </row>
    <row r="53" spans="1:80" x14ac:dyDescent="0.2">
      <c r="A53" s="108" t="s">
        <v>222</v>
      </c>
      <c r="B53" s="109"/>
      <c r="C53" s="109"/>
      <c r="D53" s="110">
        <v>0.09</v>
      </c>
      <c r="E53" s="103"/>
      <c r="F53" s="108" t="s">
        <v>222</v>
      </c>
      <c r="G53" s="109"/>
      <c r="H53" s="109"/>
      <c r="I53" s="110">
        <v>0.09</v>
      </c>
      <c r="J53" s="103"/>
      <c r="K53" s="108" t="s">
        <v>222</v>
      </c>
      <c r="L53" s="109"/>
      <c r="M53" s="109"/>
      <c r="N53" s="110">
        <v>0.09</v>
      </c>
      <c r="O53" s="103"/>
      <c r="P53" s="108" t="s">
        <v>222</v>
      </c>
      <c r="Q53" s="109"/>
      <c r="R53" s="109"/>
      <c r="S53" s="110">
        <v>0.09</v>
      </c>
      <c r="BI53" s="133" t="s">
        <v>222</v>
      </c>
      <c r="BJ53" s="134"/>
      <c r="BK53" s="134"/>
      <c r="BL53" s="135">
        <v>0.09</v>
      </c>
      <c r="BM53" s="128"/>
      <c r="BN53" s="133" t="s">
        <v>222</v>
      </c>
      <c r="BO53" s="134"/>
      <c r="BP53" s="134"/>
      <c r="BQ53" s="135">
        <v>0.09</v>
      </c>
      <c r="BR53" s="128"/>
      <c r="BS53" s="133" t="s">
        <v>222</v>
      </c>
      <c r="BT53" s="134"/>
      <c r="BU53" s="134"/>
      <c r="BV53" s="135">
        <v>0.09</v>
      </c>
      <c r="BW53" s="128"/>
      <c r="BX53" s="133" t="s">
        <v>222</v>
      </c>
      <c r="BY53" s="134"/>
      <c r="BZ53" s="134"/>
      <c r="CA53" s="135">
        <v>0.09</v>
      </c>
    </row>
    <row r="54" spans="1:80" x14ac:dyDescent="0.2">
      <c r="A54" s="108" t="s">
        <v>218</v>
      </c>
      <c r="B54" s="109">
        <v>90</v>
      </c>
      <c r="C54" s="109">
        <v>1.31</v>
      </c>
      <c r="D54" s="110">
        <f>(B54/1000)/C54</f>
        <v>6.8702290076335867E-2</v>
      </c>
      <c r="E54" s="103"/>
      <c r="F54" s="108" t="s">
        <v>218</v>
      </c>
      <c r="G54" s="109">
        <v>90</v>
      </c>
      <c r="H54" s="109">
        <v>1.31</v>
      </c>
      <c r="I54" s="110">
        <f>(G54/1000)/H54</f>
        <v>6.8702290076335867E-2</v>
      </c>
      <c r="J54" s="103"/>
      <c r="K54" s="108" t="s">
        <v>218</v>
      </c>
      <c r="L54" s="109">
        <v>90</v>
      </c>
      <c r="M54" s="109">
        <v>1.31</v>
      </c>
      <c r="N54" s="110">
        <f>(L54/1000)/M54</f>
        <v>6.8702290076335867E-2</v>
      </c>
      <c r="O54" s="103"/>
      <c r="P54" s="108" t="s">
        <v>218</v>
      </c>
      <c r="Q54" s="109">
        <v>90</v>
      </c>
      <c r="R54" s="109">
        <v>1.31</v>
      </c>
      <c r="S54" s="110">
        <f>(Q54/1000)/R54</f>
        <v>6.8702290076335867E-2</v>
      </c>
      <c r="BI54" s="133" t="s">
        <v>218</v>
      </c>
      <c r="BJ54" s="134">
        <v>90</v>
      </c>
      <c r="BK54" s="134">
        <v>1.31</v>
      </c>
      <c r="BL54" s="135">
        <f>(BJ54/1000)/BK54</f>
        <v>6.8702290076335867E-2</v>
      </c>
      <c r="BM54" s="128"/>
      <c r="BN54" s="133" t="s">
        <v>218</v>
      </c>
      <c r="BO54" s="134">
        <v>90</v>
      </c>
      <c r="BP54" s="134">
        <v>1.31</v>
      </c>
      <c r="BQ54" s="135">
        <f>(BO54/1000)/BP54</f>
        <v>6.8702290076335867E-2</v>
      </c>
      <c r="BR54" s="128"/>
      <c r="BS54" s="133" t="s">
        <v>218</v>
      </c>
      <c r="BT54" s="134">
        <v>90</v>
      </c>
      <c r="BU54" s="134">
        <v>1.31</v>
      </c>
      <c r="BV54" s="135">
        <f>(BT54/1000)/BU54</f>
        <v>6.8702290076335867E-2</v>
      </c>
      <c r="BW54" s="128"/>
      <c r="BX54" s="133" t="s">
        <v>218</v>
      </c>
      <c r="BY54" s="134">
        <v>90</v>
      </c>
      <c r="BZ54" s="134">
        <v>1.31</v>
      </c>
      <c r="CA54" s="135">
        <f>(BY54/1000)/BZ54</f>
        <v>6.8702290076335867E-2</v>
      </c>
    </row>
    <row r="55" spans="1:80" x14ac:dyDescent="0.2">
      <c r="A55" s="108" t="s">
        <v>219</v>
      </c>
      <c r="B55" s="109"/>
      <c r="C55" s="109"/>
      <c r="D55" s="110">
        <v>0.04</v>
      </c>
      <c r="E55" s="103"/>
      <c r="F55" s="108" t="s">
        <v>219</v>
      </c>
      <c r="G55" s="109"/>
      <c r="H55" s="109"/>
      <c r="I55" s="110">
        <v>0.04</v>
      </c>
      <c r="J55" s="103"/>
      <c r="K55" s="108" t="s">
        <v>219</v>
      </c>
      <c r="L55" s="109"/>
      <c r="M55" s="109"/>
      <c r="N55" s="110">
        <v>0.04</v>
      </c>
      <c r="O55" s="103"/>
      <c r="P55" s="108" t="s">
        <v>219</v>
      </c>
      <c r="Q55" s="109"/>
      <c r="R55" s="109"/>
      <c r="S55" s="110">
        <v>0.04</v>
      </c>
      <c r="BI55" s="133" t="s">
        <v>219</v>
      </c>
      <c r="BJ55" s="134"/>
      <c r="BK55" s="134"/>
      <c r="BL55" s="135">
        <v>0.04</v>
      </c>
      <c r="BM55" s="128"/>
      <c r="BN55" s="133" t="s">
        <v>219</v>
      </c>
      <c r="BO55" s="134"/>
      <c r="BP55" s="134"/>
      <c r="BQ55" s="135">
        <v>0.04</v>
      </c>
      <c r="BR55" s="128"/>
      <c r="BS55" s="133" t="s">
        <v>219</v>
      </c>
      <c r="BT55" s="134"/>
      <c r="BU55" s="134"/>
      <c r="BV55" s="135">
        <v>0.04</v>
      </c>
      <c r="BW55" s="128"/>
      <c r="BX55" s="133" t="s">
        <v>219</v>
      </c>
      <c r="BY55" s="134"/>
      <c r="BZ55" s="134"/>
      <c r="CA55" s="135">
        <v>0.04</v>
      </c>
    </row>
    <row r="56" spans="1:80" x14ac:dyDescent="0.2">
      <c r="A56" s="108"/>
      <c r="B56" s="109"/>
      <c r="C56" s="109"/>
      <c r="D56" s="110"/>
      <c r="E56" s="103"/>
      <c r="F56" s="108"/>
      <c r="G56" s="109"/>
      <c r="H56" s="109"/>
      <c r="I56" s="110"/>
      <c r="J56" s="103"/>
      <c r="K56" s="108"/>
      <c r="L56" s="109"/>
      <c r="M56" s="109"/>
      <c r="N56" s="110"/>
      <c r="O56" s="103"/>
      <c r="P56" s="108"/>
      <c r="Q56" s="109"/>
      <c r="R56" s="109"/>
      <c r="S56" s="110"/>
      <c r="BI56" s="133"/>
      <c r="BJ56" s="134"/>
      <c r="BK56" s="134"/>
      <c r="BL56" s="135"/>
      <c r="BM56" s="128"/>
      <c r="BN56" s="133"/>
      <c r="BO56" s="134"/>
      <c r="BP56" s="134"/>
      <c r="BQ56" s="135"/>
      <c r="BR56" s="128"/>
      <c r="BS56" s="133"/>
      <c r="BT56" s="134"/>
      <c r="BU56" s="134"/>
      <c r="BV56" s="135"/>
      <c r="BW56" s="128"/>
      <c r="BX56" s="133"/>
      <c r="BY56" s="134"/>
      <c r="BZ56" s="134"/>
      <c r="CA56" s="135"/>
    </row>
    <row r="57" spans="1:80" x14ac:dyDescent="0.2">
      <c r="A57" s="108" t="s">
        <v>220</v>
      </c>
      <c r="B57" s="109"/>
      <c r="C57" s="109"/>
      <c r="D57" s="110">
        <v>-0.1</v>
      </c>
      <c r="E57" s="103"/>
      <c r="F57" s="108" t="s">
        <v>220</v>
      </c>
      <c r="G57" s="109"/>
      <c r="H57" s="109"/>
      <c r="I57" s="110">
        <v>-0.1</v>
      </c>
      <c r="J57" s="103"/>
      <c r="K57" s="108" t="s">
        <v>220</v>
      </c>
      <c r="L57" s="109"/>
      <c r="M57" s="109"/>
      <c r="N57" s="110">
        <v>-0.1</v>
      </c>
      <c r="O57" s="103"/>
      <c r="P57" s="108" t="s">
        <v>220</v>
      </c>
      <c r="Q57" s="109"/>
      <c r="R57" s="109"/>
      <c r="S57" s="110">
        <v>-0.1</v>
      </c>
      <c r="BI57" s="133" t="s">
        <v>220</v>
      </c>
      <c r="BJ57" s="134"/>
      <c r="BK57" s="134"/>
      <c r="BL57" s="135">
        <v>-0.1</v>
      </c>
      <c r="BM57" s="128"/>
      <c r="BN57" s="133" t="s">
        <v>220</v>
      </c>
      <c r="BO57" s="134"/>
      <c r="BP57" s="134"/>
      <c r="BQ57" s="135">
        <v>-0.1</v>
      </c>
      <c r="BR57" s="128"/>
      <c r="BS57" s="133" t="s">
        <v>220</v>
      </c>
      <c r="BT57" s="134"/>
      <c r="BU57" s="134"/>
      <c r="BV57" s="135">
        <v>-0.1</v>
      </c>
      <c r="BW57" s="128"/>
      <c r="BX57" s="133" t="s">
        <v>220</v>
      </c>
      <c r="BY57" s="134"/>
      <c r="BZ57" s="134"/>
      <c r="CA57" s="135">
        <v>-0.1</v>
      </c>
    </row>
    <row r="58" spans="1:80" x14ac:dyDescent="0.2">
      <c r="A58" s="108"/>
      <c r="B58" s="109"/>
      <c r="C58" s="109"/>
      <c r="D58" s="110"/>
      <c r="E58" s="103"/>
      <c r="F58" s="108"/>
      <c r="G58" s="109"/>
      <c r="H58" s="109"/>
      <c r="I58" s="110"/>
      <c r="J58" s="103"/>
      <c r="K58" s="108"/>
      <c r="L58" s="109"/>
      <c r="M58" s="109"/>
      <c r="N58" s="110"/>
      <c r="O58" s="103"/>
      <c r="P58" s="108"/>
      <c r="Q58" s="109"/>
      <c r="R58" s="109"/>
      <c r="S58" s="110"/>
      <c r="BI58" s="133"/>
      <c r="BJ58" s="134"/>
      <c r="BK58" s="134"/>
      <c r="BL58" s="135"/>
      <c r="BM58" s="128"/>
      <c r="BN58" s="133"/>
      <c r="BO58" s="134"/>
      <c r="BP58" s="134"/>
      <c r="BQ58" s="135"/>
      <c r="BR58" s="128"/>
      <c r="BS58" s="133"/>
      <c r="BT58" s="134"/>
      <c r="BU58" s="134"/>
      <c r="BV58" s="135"/>
      <c r="BW58" s="128"/>
      <c r="BX58" s="133"/>
      <c r="BY58" s="134"/>
      <c r="BZ58" s="134"/>
      <c r="CA58" s="135"/>
    </row>
    <row r="59" spans="1:80" ht="18.75" x14ac:dyDescent="0.35">
      <c r="A59" s="111" t="s">
        <v>221</v>
      </c>
      <c r="B59" s="112"/>
      <c r="C59" s="112"/>
      <c r="D59" s="113">
        <f>FLOOR(SUM(D49:D57),0.05)</f>
        <v>3.1500000000000004</v>
      </c>
      <c r="E59" s="103"/>
      <c r="F59" s="111" t="s">
        <v>221</v>
      </c>
      <c r="G59" s="112"/>
      <c r="H59" s="112"/>
      <c r="I59" s="113">
        <f>FLOOR(SUM(I49:I57),0.05)</f>
        <v>3.75</v>
      </c>
      <c r="J59" s="103"/>
      <c r="K59" s="111" t="s">
        <v>221</v>
      </c>
      <c r="L59" s="112"/>
      <c r="M59" s="112"/>
      <c r="N59" s="165">
        <f>FLOOR(SUM(N49:N57),0.05)</f>
        <v>4.2</v>
      </c>
      <c r="O59" s="103"/>
      <c r="P59" s="111" t="s">
        <v>221</v>
      </c>
      <c r="Q59" s="112"/>
      <c r="R59" s="112"/>
      <c r="S59" s="165">
        <f>FLOOR(SUM(S49:S57),0.05)</f>
        <v>4.7</v>
      </c>
      <c r="BI59" s="136" t="s">
        <v>221</v>
      </c>
      <c r="BJ59" s="137"/>
      <c r="BK59" s="137"/>
      <c r="BL59" s="172">
        <f>FLOOR(SUM(BL49:BL57),0.05)</f>
        <v>3.7</v>
      </c>
      <c r="BM59" s="163"/>
      <c r="BN59" s="161" t="s">
        <v>221</v>
      </c>
      <c r="BO59" s="162"/>
      <c r="BP59" s="162"/>
      <c r="BQ59" s="172">
        <f>FLOOR(SUM(BQ49:BQ57),0.05)</f>
        <v>4.3500000000000005</v>
      </c>
      <c r="BR59" s="163"/>
      <c r="BS59" s="161" t="s">
        <v>221</v>
      </c>
      <c r="BT59" s="162"/>
      <c r="BU59" s="162"/>
      <c r="BV59" s="172">
        <f>FLOOR(SUM(BV49:BV57),0.05)</f>
        <v>4.8000000000000007</v>
      </c>
      <c r="BW59" s="163"/>
      <c r="BX59" s="161" t="s">
        <v>221</v>
      </c>
      <c r="BY59" s="162"/>
      <c r="BZ59" s="162"/>
      <c r="CA59" s="172">
        <f>FLOOR(SUM(CA49:CA57),0.05)</f>
        <v>5.3000000000000007</v>
      </c>
      <c r="CB59" s="2"/>
    </row>
    <row r="60" spans="1:80" x14ac:dyDescent="0.2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</row>
    <row r="61" spans="1:80" x14ac:dyDescent="0.2">
      <c r="A61" s="104"/>
      <c r="B61" s="105" t="s">
        <v>52</v>
      </c>
      <c r="C61" s="106" t="s">
        <v>53</v>
      </c>
      <c r="D61" s="107" t="s">
        <v>71</v>
      </c>
      <c r="E61" s="103"/>
      <c r="F61" s="104"/>
      <c r="G61" s="105" t="s">
        <v>52</v>
      </c>
      <c r="H61" s="106" t="s">
        <v>53</v>
      </c>
      <c r="I61" s="107" t="s">
        <v>71</v>
      </c>
      <c r="J61" s="103"/>
      <c r="K61" s="104"/>
      <c r="L61" s="105" t="s">
        <v>52</v>
      </c>
      <c r="M61" s="106" t="s">
        <v>53</v>
      </c>
      <c r="N61" s="107" t="s">
        <v>71</v>
      </c>
      <c r="O61" s="103"/>
      <c r="P61" s="104"/>
      <c r="Q61" s="105" t="s">
        <v>52</v>
      </c>
      <c r="R61" s="106" t="s">
        <v>53</v>
      </c>
      <c r="S61" s="107" t="s">
        <v>71</v>
      </c>
      <c r="BI61" s="129"/>
      <c r="BJ61" s="130" t="s">
        <v>52</v>
      </c>
      <c r="BK61" s="131" t="s">
        <v>53</v>
      </c>
      <c r="BL61" s="132" t="s">
        <v>71</v>
      </c>
      <c r="BM61" s="128"/>
      <c r="BN61" s="129"/>
      <c r="BO61" s="130" t="s">
        <v>52</v>
      </c>
      <c r="BP61" s="131" t="s">
        <v>53</v>
      </c>
      <c r="BQ61" s="132" t="s">
        <v>71</v>
      </c>
      <c r="BR61" s="128"/>
      <c r="BS61" s="129"/>
      <c r="BT61" s="130" t="s">
        <v>52</v>
      </c>
      <c r="BU61" s="131" t="s">
        <v>53</v>
      </c>
      <c r="BV61" s="132" t="s">
        <v>71</v>
      </c>
      <c r="BW61" s="128"/>
      <c r="BX61" s="129"/>
      <c r="BY61" s="130" t="s">
        <v>52</v>
      </c>
      <c r="BZ61" s="131" t="s">
        <v>53</v>
      </c>
      <c r="CA61" s="132" t="s">
        <v>71</v>
      </c>
    </row>
    <row r="62" spans="1:80" x14ac:dyDescent="0.2">
      <c r="A62" s="108"/>
      <c r="B62" s="109" t="s">
        <v>54</v>
      </c>
      <c r="C62" s="109" t="s">
        <v>55</v>
      </c>
      <c r="D62" s="110" t="s">
        <v>1</v>
      </c>
      <c r="E62" s="103"/>
      <c r="F62" s="108"/>
      <c r="G62" s="109" t="s">
        <v>54</v>
      </c>
      <c r="H62" s="109" t="s">
        <v>55</v>
      </c>
      <c r="I62" s="110" t="s">
        <v>1</v>
      </c>
      <c r="J62" s="103"/>
      <c r="K62" s="108"/>
      <c r="L62" s="109" t="s">
        <v>54</v>
      </c>
      <c r="M62" s="109" t="s">
        <v>55</v>
      </c>
      <c r="N62" s="110" t="s">
        <v>1</v>
      </c>
      <c r="O62" s="103"/>
      <c r="P62" s="108"/>
      <c r="Q62" s="109" t="s">
        <v>54</v>
      </c>
      <c r="R62" s="109" t="s">
        <v>55</v>
      </c>
      <c r="S62" s="110" t="s">
        <v>1</v>
      </c>
      <c r="BI62" s="133"/>
      <c r="BJ62" s="134" t="s">
        <v>54</v>
      </c>
      <c r="BK62" s="134" t="s">
        <v>55</v>
      </c>
      <c r="BL62" s="135" t="s">
        <v>1</v>
      </c>
      <c r="BM62" s="128"/>
      <c r="BN62" s="133"/>
      <c r="BO62" s="134" t="s">
        <v>54</v>
      </c>
      <c r="BP62" s="134" t="s">
        <v>55</v>
      </c>
      <c r="BQ62" s="135" t="s">
        <v>1</v>
      </c>
      <c r="BR62" s="128"/>
      <c r="BS62" s="133"/>
      <c r="BT62" s="134" t="s">
        <v>54</v>
      </c>
      <c r="BU62" s="134" t="s">
        <v>55</v>
      </c>
      <c r="BV62" s="135" t="s">
        <v>1</v>
      </c>
      <c r="BW62" s="128"/>
      <c r="BX62" s="133"/>
      <c r="BY62" s="134" t="s">
        <v>54</v>
      </c>
      <c r="BZ62" s="134" t="s">
        <v>55</v>
      </c>
      <c r="CA62" s="135" t="s">
        <v>1</v>
      </c>
    </row>
    <row r="63" spans="1:80" x14ac:dyDescent="0.2">
      <c r="A63" s="108" t="s">
        <v>214</v>
      </c>
      <c r="B63" s="109"/>
      <c r="C63" s="109"/>
      <c r="D63" s="110">
        <v>0.13</v>
      </c>
      <c r="E63" s="103"/>
      <c r="F63" s="108" t="s">
        <v>214</v>
      </c>
      <c r="G63" s="109"/>
      <c r="H63" s="109"/>
      <c r="I63" s="110">
        <v>0.13</v>
      </c>
      <c r="J63" s="103"/>
      <c r="K63" s="108" t="s">
        <v>214</v>
      </c>
      <c r="L63" s="109"/>
      <c r="M63" s="109"/>
      <c r="N63" s="110">
        <v>0.13</v>
      </c>
      <c r="O63" s="103"/>
      <c r="P63" s="108" t="s">
        <v>214</v>
      </c>
      <c r="Q63" s="109"/>
      <c r="R63" s="109"/>
      <c r="S63" s="110">
        <v>0.13</v>
      </c>
      <c r="BI63" s="133" t="s">
        <v>214</v>
      </c>
      <c r="BJ63" s="134"/>
      <c r="BK63" s="134"/>
      <c r="BL63" s="135">
        <v>0.13</v>
      </c>
      <c r="BM63" s="128"/>
      <c r="BN63" s="133" t="s">
        <v>214</v>
      </c>
      <c r="BO63" s="134"/>
      <c r="BP63" s="134"/>
      <c r="BQ63" s="135">
        <v>0.13</v>
      </c>
      <c r="BR63" s="128"/>
      <c r="BS63" s="133" t="s">
        <v>214</v>
      </c>
      <c r="BT63" s="134"/>
      <c r="BU63" s="134"/>
      <c r="BV63" s="135">
        <v>0.13</v>
      </c>
      <c r="BW63" s="128"/>
      <c r="BX63" s="133" t="s">
        <v>214</v>
      </c>
      <c r="BY63" s="134"/>
      <c r="BZ63" s="134"/>
      <c r="CA63" s="135">
        <v>0.13</v>
      </c>
    </row>
    <row r="64" spans="1:80" x14ac:dyDescent="0.2">
      <c r="A64" s="108" t="s">
        <v>215</v>
      </c>
      <c r="B64" s="109">
        <v>136</v>
      </c>
      <c r="C64" s="109">
        <v>0.13</v>
      </c>
      <c r="D64" s="110">
        <f>(B64/1000)/C64</f>
        <v>1.0461538461538462</v>
      </c>
      <c r="E64" s="103"/>
      <c r="F64" s="108" t="s">
        <v>215</v>
      </c>
      <c r="G64" s="109">
        <v>136</v>
      </c>
      <c r="H64" s="109">
        <v>0.13</v>
      </c>
      <c r="I64" s="110">
        <f>(G64/1000)/H64</f>
        <v>1.0461538461538462</v>
      </c>
      <c r="J64" s="103"/>
      <c r="K64" s="108" t="s">
        <v>215</v>
      </c>
      <c r="L64" s="109">
        <v>136</v>
      </c>
      <c r="M64" s="109">
        <v>0.13</v>
      </c>
      <c r="N64" s="110">
        <f>(L64/1000)/M64</f>
        <v>1.0461538461538462</v>
      </c>
      <c r="O64" s="103"/>
      <c r="P64" s="108" t="s">
        <v>215</v>
      </c>
      <c r="Q64" s="109">
        <v>136</v>
      </c>
      <c r="R64" s="109">
        <v>0.13</v>
      </c>
      <c r="S64" s="110">
        <f>(Q64/1000)/R64</f>
        <v>1.0461538461538462</v>
      </c>
      <c r="BI64" s="133" t="s">
        <v>215</v>
      </c>
      <c r="BJ64" s="134">
        <v>250</v>
      </c>
      <c r="BK64" s="134">
        <v>0.13</v>
      </c>
      <c r="BL64" s="135">
        <f>(BJ64/1000)/BK64</f>
        <v>1.9230769230769229</v>
      </c>
      <c r="BM64" s="128"/>
      <c r="BN64" s="133" t="s">
        <v>215</v>
      </c>
      <c r="BO64" s="134">
        <v>250</v>
      </c>
      <c r="BP64" s="134">
        <v>0.13</v>
      </c>
      <c r="BQ64" s="135">
        <f>(BO64/1000)/BP64</f>
        <v>1.9230769230769229</v>
      </c>
      <c r="BR64" s="128"/>
      <c r="BS64" s="133" t="s">
        <v>215</v>
      </c>
      <c r="BT64" s="134">
        <v>250</v>
      </c>
      <c r="BU64" s="134">
        <v>0.13</v>
      </c>
      <c r="BV64" s="135">
        <f>(BT64/1000)/BU64</f>
        <v>1.9230769230769229</v>
      </c>
      <c r="BW64" s="128"/>
      <c r="BX64" s="133" t="s">
        <v>215</v>
      </c>
      <c r="BY64" s="134">
        <v>250</v>
      </c>
      <c r="BZ64" s="134">
        <v>0.13</v>
      </c>
      <c r="CA64" s="135">
        <f>(BY64/1000)/BZ64</f>
        <v>1.9230769230769229</v>
      </c>
    </row>
    <row r="65" spans="1:86" x14ac:dyDescent="0.2">
      <c r="A65" s="108" t="s">
        <v>216</v>
      </c>
      <c r="B65" s="109">
        <v>60</v>
      </c>
      <c r="C65" s="109">
        <v>3.1E-2</v>
      </c>
      <c r="D65" s="110">
        <f>(B65/1000)/C65</f>
        <v>1.9354838709677418</v>
      </c>
      <c r="E65" s="103"/>
      <c r="F65" s="108" t="s">
        <v>216</v>
      </c>
      <c r="G65" s="109">
        <v>79</v>
      </c>
      <c r="H65" s="109">
        <v>3.1E-2</v>
      </c>
      <c r="I65" s="110">
        <f>(G65/1000)/H65</f>
        <v>2.5483870967741935</v>
      </c>
      <c r="J65" s="103"/>
      <c r="K65" s="108" t="s">
        <v>216</v>
      </c>
      <c r="L65" s="109">
        <v>93</v>
      </c>
      <c r="M65" s="109">
        <v>3.1E-2</v>
      </c>
      <c r="N65" s="110">
        <f>(L65/1000)/M65</f>
        <v>3</v>
      </c>
      <c r="O65" s="103"/>
      <c r="P65" s="108" t="s">
        <v>216</v>
      </c>
      <c r="Q65" s="109">
        <v>109</v>
      </c>
      <c r="R65" s="109">
        <v>3.1E-2</v>
      </c>
      <c r="S65" s="110">
        <f>(Q65/1000)/R65</f>
        <v>3.5161290322580645</v>
      </c>
      <c r="BI65" s="133" t="s">
        <v>216</v>
      </c>
      <c r="BJ65" s="134">
        <v>60</v>
      </c>
      <c r="BK65" s="134">
        <v>3.1E-2</v>
      </c>
      <c r="BL65" s="135">
        <f>(BJ65/1000)/BK65</f>
        <v>1.9354838709677418</v>
      </c>
      <c r="BM65" s="128"/>
      <c r="BN65" s="133" t="s">
        <v>216</v>
      </c>
      <c r="BO65" s="134">
        <v>79</v>
      </c>
      <c r="BP65" s="134">
        <v>3.1E-2</v>
      </c>
      <c r="BQ65" s="135">
        <f>(BO65/1000)/BP65</f>
        <v>2.5483870967741935</v>
      </c>
      <c r="BR65" s="128"/>
      <c r="BS65" s="133" t="s">
        <v>216</v>
      </c>
      <c r="BT65" s="134">
        <v>93</v>
      </c>
      <c r="BU65" s="134">
        <v>3.1E-2</v>
      </c>
      <c r="BV65" s="135">
        <f>(BT65/1000)/BU65</f>
        <v>3</v>
      </c>
      <c r="BW65" s="128"/>
      <c r="BX65" s="133" t="s">
        <v>216</v>
      </c>
      <c r="BY65" s="134">
        <v>109</v>
      </c>
      <c r="BZ65" s="134">
        <v>3.1E-2</v>
      </c>
      <c r="CA65" s="135">
        <f>(BY65/1000)/BZ65</f>
        <v>3.5161290322580645</v>
      </c>
    </row>
    <row r="66" spans="1:86" x14ac:dyDescent="0.2">
      <c r="A66" s="108" t="s">
        <v>217</v>
      </c>
      <c r="B66" s="109"/>
      <c r="C66" s="109"/>
      <c r="D66" s="110">
        <v>0</v>
      </c>
      <c r="E66" s="103"/>
      <c r="F66" s="108" t="s">
        <v>217</v>
      </c>
      <c r="G66" s="109"/>
      <c r="H66" s="109"/>
      <c r="I66" s="110">
        <v>0</v>
      </c>
      <c r="J66" s="103"/>
      <c r="K66" s="108" t="s">
        <v>217</v>
      </c>
      <c r="L66" s="109"/>
      <c r="M66" s="109"/>
      <c r="N66" s="110">
        <v>0</v>
      </c>
      <c r="O66" s="103"/>
      <c r="P66" s="108" t="s">
        <v>217</v>
      </c>
      <c r="Q66" s="109"/>
      <c r="R66" s="109"/>
      <c r="S66" s="110">
        <v>0</v>
      </c>
      <c r="BI66" s="133" t="s">
        <v>217</v>
      </c>
      <c r="BJ66" s="134"/>
      <c r="BK66" s="134"/>
      <c r="BL66" s="135">
        <v>0</v>
      </c>
      <c r="BM66" s="128"/>
      <c r="BN66" s="133" t="s">
        <v>217</v>
      </c>
      <c r="BO66" s="134"/>
      <c r="BP66" s="134"/>
      <c r="BQ66" s="135">
        <v>0</v>
      </c>
      <c r="BR66" s="128"/>
      <c r="BS66" s="133" t="s">
        <v>217</v>
      </c>
      <c r="BT66" s="134"/>
      <c r="BU66" s="134"/>
      <c r="BV66" s="135">
        <v>0</v>
      </c>
      <c r="BW66" s="128"/>
      <c r="BX66" s="133" t="s">
        <v>217</v>
      </c>
      <c r="BY66" s="134"/>
      <c r="BZ66" s="134"/>
      <c r="CA66" s="135">
        <v>0</v>
      </c>
    </row>
    <row r="67" spans="1:86" x14ac:dyDescent="0.2">
      <c r="A67" s="108" t="s">
        <v>222</v>
      </c>
      <c r="B67" s="109"/>
      <c r="C67" s="109"/>
      <c r="D67" s="110">
        <v>0.09</v>
      </c>
      <c r="E67" s="103"/>
      <c r="F67" s="108" t="s">
        <v>222</v>
      </c>
      <c r="G67" s="109"/>
      <c r="H67" s="109"/>
      <c r="I67" s="110">
        <v>0.09</v>
      </c>
      <c r="J67" s="103"/>
      <c r="K67" s="108" t="s">
        <v>222</v>
      </c>
      <c r="L67" s="109"/>
      <c r="M67" s="109"/>
      <c r="N67" s="110">
        <v>0.09</v>
      </c>
      <c r="O67" s="103"/>
      <c r="P67" s="108" t="s">
        <v>222</v>
      </c>
      <c r="Q67" s="109"/>
      <c r="R67" s="109"/>
      <c r="S67" s="110">
        <v>0.09</v>
      </c>
      <c r="BI67" s="133" t="s">
        <v>222</v>
      </c>
      <c r="BJ67" s="134"/>
      <c r="BK67" s="134"/>
      <c r="BL67" s="135">
        <v>0.09</v>
      </c>
      <c r="BM67" s="128"/>
      <c r="BN67" s="133" t="s">
        <v>222</v>
      </c>
      <c r="BO67" s="134"/>
      <c r="BP67" s="134"/>
      <c r="BQ67" s="135">
        <v>0.09</v>
      </c>
      <c r="BR67" s="128"/>
      <c r="BS67" s="133" t="s">
        <v>222</v>
      </c>
      <c r="BT67" s="134"/>
      <c r="BU67" s="134"/>
      <c r="BV67" s="135">
        <v>0.09</v>
      </c>
      <c r="BW67" s="128"/>
      <c r="BX67" s="133" t="s">
        <v>222</v>
      </c>
      <c r="BY67" s="134"/>
      <c r="BZ67" s="134"/>
      <c r="CA67" s="135">
        <v>0.09</v>
      </c>
    </row>
    <row r="68" spans="1:86" x14ac:dyDescent="0.2">
      <c r="A68" s="108" t="s">
        <v>218</v>
      </c>
      <c r="B68" s="109">
        <v>90</v>
      </c>
      <c r="C68" s="109">
        <v>1.31</v>
      </c>
      <c r="D68" s="110">
        <f>(B68/1000)/C68</f>
        <v>6.8702290076335867E-2</v>
      </c>
      <c r="E68" s="103"/>
      <c r="F68" s="108" t="s">
        <v>218</v>
      </c>
      <c r="G68" s="109">
        <v>90</v>
      </c>
      <c r="H68" s="109">
        <v>1.31</v>
      </c>
      <c r="I68" s="110">
        <f>(G68/1000)/H68</f>
        <v>6.8702290076335867E-2</v>
      </c>
      <c r="J68" s="103"/>
      <c r="K68" s="108" t="s">
        <v>218</v>
      </c>
      <c r="L68" s="109">
        <v>90</v>
      </c>
      <c r="M68" s="109">
        <v>1.31</v>
      </c>
      <c r="N68" s="110">
        <f>(L68/1000)/M68</f>
        <v>6.8702290076335867E-2</v>
      </c>
      <c r="O68" s="103"/>
      <c r="P68" s="108" t="s">
        <v>218</v>
      </c>
      <c r="Q68" s="109">
        <v>90</v>
      </c>
      <c r="R68" s="109">
        <v>1.31</v>
      </c>
      <c r="S68" s="110">
        <f>(Q68/1000)/R68</f>
        <v>6.8702290076335867E-2</v>
      </c>
      <c r="BI68" s="133" t="s">
        <v>218</v>
      </c>
      <c r="BJ68" s="134">
        <v>90</v>
      </c>
      <c r="BK68" s="134">
        <v>1.31</v>
      </c>
      <c r="BL68" s="135">
        <f>(BJ68/1000)/BK68</f>
        <v>6.8702290076335867E-2</v>
      </c>
      <c r="BM68" s="128"/>
      <c r="BN68" s="133" t="s">
        <v>218</v>
      </c>
      <c r="BO68" s="134">
        <v>90</v>
      </c>
      <c r="BP68" s="134">
        <v>1.31</v>
      </c>
      <c r="BQ68" s="135">
        <f>(BO68/1000)/BP68</f>
        <v>6.8702290076335867E-2</v>
      </c>
      <c r="BR68" s="128"/>
      <c r="BS68" s="133" t="s">
        <v>218</v>
      </c>
      <c r="BT68" s="134">
        <v>90</v>
      </c>
      <c r="BU68" s="134">
        <v>1.31</v>
      </c>
      <c r="BV68" s="135">
        <f>(BT68/1000)/BU68</f>
        <v>6.8702290076335867E-2</v>
      </c>
      <c r="BW68" s="128"/>
      <c r="BX68" s="133" t="s">
        <v>218</v>
      </c>
      <c r="BY68" s="134">
        <v>90</v>
      </c>
      <c r="BZ68" s="134">
        <v>1.31</v>
      </c>
      <c r="CA68" s="135">
        <f>(BY68/1000)/BZ68</f>
        <v>6.8702290076335867E-2</v>
      </c>
    </row>
    <row r="69" spans="1:86" x14ac:dyDescent="0.2">
      <c r="A69" s="108" t="s">
        <v>219</v>
      </c>
      <c r="B69" s="109"/>
      <c r="C69" s="109"/>
      <c r="D69" s="110">
        <v>0.04</v>
      </c>
      <c r="E69" s="103"/>
      <c r="F69" s="108" t="s">
        <v>219</v>
      </c>
      <c r="G69" s="109"/>
      <c r="H69" s="109"/>
      <c r="I69" s="110">
        <v>0.04</v>
      </c>
      <c r="J69" s="103"/>
      <c r="K69" s="108" t="s">
        <v>219</v>
      </c>
      <c r="L69" s="109"/>
      <c r="M69" s="109"/>
      <c r="N69" s="110">
        <v>0.04</v>
      </c>
      <c r="O69" s="103"/>
      <c r="P69" s="108" t="s">
        <v>219</v>
      </c>
      <c r="Q69" s="109"/>
      <c r="R69" s="109"/>
      <c r="S69" s="110">
        <v>0.04</v>
      </c>
      <c r="BI69" s="133" t="s">
        <v>219</v>
      </c>
      <c r="BJ69" s="134"/>
      <c r="BK69" s="134"/>
      <c r="BL69" s="135">
        <v>0.04</v>
      </c>
      <c r="BM69" s="128"/>
      <c r="BN69" s="133" t="s">
        <v>219</v>
      </c>
      <c r="BO69" s="134"/>
      <c r="BP69" s="134"/>
      <c r="BQ69" s="135">
        <v>0.04</v>
      </c>
      <c r="BR69" s="128"/>
      <c r="BS69" s="133" t="s">
        <v>219</v>
      </c>
      <c r="BT69" s="134"/>
      <c r="BU69" s="134"/>
      <c r="BV69" s="135">
        <v>0.04</v>
      </c>
      <c r="BW69" s="128"/>
      <c r="BX69" s="133" t="s">
        <v>219</v>
      </c>
      <c r="BY69" s="134"/>
      <c r="BZ69" s="134"/>
      <c r="CA69" s="135">
        <v>0.04</v>
      </c>
    </row>
    <row r="70" spans="1:86" x14ac:dyDescent="0.2">
      <c r="A70" s="108"/>
      <c r="B70" s="109"/>
      <c r="C70" s="109"/>
      <c r="D70" s="110"/>
      <c r="E70" s="103"/>
      <c r="F70" s="108"/>
      <c r="G70" s="109"/>
      <c r="H70" s="109"/>
      <c r="I70" s="110"/>
      <c r="J70" s="103"/>
      <c r="K70" s="108"/>
      <c r="L70" s="109"/>
      <c r="M70" s="109"/>
      <c r="N70" s="110"/>
      <c r="O70" s="103"/>
      <c r="P70" s="108"/>
      <c r="Q70" s="109"/>
      <c r="R70" s="109"/>
      <c r="S70" s="110"/>
      <c r="BI70" s="133"/>
      <c r="BJ70" s="134"/>
      <c r="BK70" s="134"/>
      <c r="BL70" s="135"/>
      <c r="BM70" s="128"/>
      <c r="BN70" s="133"/>
      <c r="BO70" s="134"/>
      <c r="BP70" s="134"/>
      <c r="BQ70" s="135"/>
      <c r="BR70" s="128"/>
      <c r="BS70" s="133"/>
      <c r="BT70" s="134"/>
      <c r="BU70" s="134"/>
      <c r="BV70" s="135"/>
      <c r="BW70" s="128"/>
      <c r="BX70" s="133"/>
      <c r="BY70" s="134"/>
      <c r="BZ70" s="134"/>
      <c r="CA70" s="135"/>
    </row>
    <row r="71" spans="1:86" x14ac:dyDescent="0.2">
      <c r="A71" s="108" t="s">
        <v>220</v>
      </c>
      <c r="B71" s="109"/>
      <c r="C71" s="109"/>
      <c r="D71" s="110">
        <v>-0.1</v>
      </c>
      <c r="E71" s="103"/>
      <c r="F71" s="108" t="s">
        <v>220</v>
      </c>
      <c r="G71" s="109"/>
      <c r="H71" s="109"/>
      <c r="I71" s="110">
        <v>-0.1</v>
      </c>
      <c r="J71" s="103"/>
      <c r="K71" s="108" t="s">
        <v>220</v>
      </c>
      <c r="L71" s="109"/>
      <c r="M71" s="109"/>
      <c r="N71" s="110">
        <v>-0.1</v>
      </c>
      <c r="O71" s="103"/>
      <c r="P71" s="108" t="s">
        <v>220</v>
      </c>
      <c r="Q71" s="109"/>
      <c r="R71" s="109"/>
      <c r="S71" s="110">
        <v>-0.1</v>
      </c>
      <c r="BI71" s="133" t="s">
        <v>220</v>
      </c>
      <c r="BJ71" s="134"/>
      <c r="BK71" s="134"/>
      <c r="BL71" s="135">
        <v>-0.1</v>
      </c>
      <c r="BM71" s="128"/>
      <c r="BN71" s="133" t="s">
        <v>220</v>
      </c>
      <c r="BO71" s="134"/>
      <c r="BP71" s="134"/>
      <c r="BQ71" s="135">
        <v>-0.1</v>
      </c>
      <c r="BR71" s="128"/>
      <c r="BS71" s="133" t="s">
        <v>220</v>
      </c>
      <c r="BT71" s="134"/>
      <c r="BU71" s="134"/>
      <c r="BV71" s="135">
        <v>-0.1</v>
      </c>
      <c r="BW71" s="128"/>
      <c r="BX71" s="133" t="s">
        <v>220</v>
      </c>
      <c r="BY71" s="134"/>
      <c r="BZ71" s="134"/>
      <c r="CA71" s="135">
        <v>-0.1</v>
      </c>
    </row>
    <row r="72" spans="1:86" x14ac:dyDescent="0.2">
      <c r="A72" s="108"/>
      <c r="B72" s="109"/>
      <c r="C72" s="109"/>
      <c r="D72" s="110"/>
      <c r="E72" s="103"/>
      <c r="F72" s="108"/>
      <c r="G72" s="109"/>
      <c r="H72" s="109"/>
      <c r="I72" s="110"/>
      <c r="J72" s="103"/>
      <c r="K72" s="108"/>
      <c r="L72" s="109"/>
      <c r="M72" s="109"/>
      <c r="N72" s="110"/>
      <c r="O72" s="103"/>
      <c r="P72" s="108"/>
      <c r="Q72" s="109"/>
      <c r="R72" s="109"/>
      <c r="S72" s="110"/>
      <c r="BI72" s="133"/>
      <c r="BJ72" s="134"/>
      <c r="BK72" s="134"/>
      <c r="BL72" s="135"/>
      <c r="BM72" s="128"/>
      <c r="BN72" s="133"/>
      <c r="BO72" s="134"/>
      <c r="BP72" s="134"/>
      <c r="BQ72" s="135"/>
      <c r="BR72" s="128"/>
      <c r="BS72" s="133"/>
      <c r="BT72" s="134"/>
      <c r="BU72" s="134"/>
      <c r="BV72" s="135"/>
      <c r="BW72" s="128"/>
      <c r="BX72" s="133"/>
      <c r="BY72" s="134"/>
      <c r="BZ72" s="134"/>
      <c r="CA72" s="135"/>
    </row>
    <row r="73" spans="1:86" ht="18.75" x14ac:dyDescent="0.35">
      <c r="A73" s="111" t="s">
        <v>221</v>
      </c>
      <c r="B73" s="112"/>
      <c r="C73" s="112"/>
      <c r="D73" s="165">
        <f>FLOOR(SUM(D63:D71),0.05)</f>
        <v>3.2</v>
      </c>
      <c r="E73" s="103"/>
      <c r="F73" s="111" t="s">
        <v>221</v>
      </c>
      <c r="G73" s="112"/>
      <c r="H73" s="112"/>
      <c r="I73" s="165">
        <f>FLOOR(SUM(I63:I71),0.05)</f>
        <v>3.8000000000000003</v>
      </c>
      <c r="J73" s="103"/>
      <c r="K73" s="111" t="s">
        <v>221</v>
      </c>
      <c r="L73" s="112"/>
      <c r="M73" s="112"/>
      <c r="N73" s="113">
        <f>FLOOR(SUM(N63:N71),0.05)</f>
        <v>4.25</v>
      </c>
      <c r="O73" s="103"/>
      <c r="P73" s="111" t="s">
        <v>221</v>
      </c>
      <c r="Q73" s="112"/>
      <c r="R73" s="112"/>
      <c r="S73" s="113">
        <f>FLOOR(SUM(S63:S71),0.05)</f>
        <v>4.75</v>
      </c>
      <c r="BI73" s="136" t="s">
        <v>221</v>
      </c>
      <c r="BJ73" s="137"/>
      <c r="BK73" s="137"/>
      <c r="BL73" s="172">
        <f>FLOOR(SUM(BL63:BL71),0.05)</f>
        <v>4.05</v>
      </c>
      <c r="BM73" s="163"/>
      <c r="BN73" s="161" t="s">
        <v>221</v>
      </c>
      <c r="BO73" s="162"/>
      <c r="BP73" s="162"/>
      <c r="BQ73" s="172">
        <f>FLOOR(SUM(BQ63:BQ71),0.05)</f>
        <v>4.7</v>
      </c>
      <c r="BR73" s="163"/>
      <c r="BS73" s="161" t="s">
        <v>221</v>
      </c>
      <c r="BT73" s="162"/>
      <c r="BU73" s="162"/>
      <c r="BV73" s="172">
        <f>FLOOR(SUM(BV63:BV71),0.05)</f>
        <v>5.15</v>
      </c>
      <c r="BW73" s="163"/>
      <c r="BX73" s="161" t="s">
        <v>221</v>
      </c>
      <c r="BY73" s="162"/>
      <c r="BZ73" s="162"/>
      <c r="CA73" s="172">
        <f>FLOOR(SUM(CA63:CA71),0.05)</f>
        <v>5.65</v>
      </c>
      <c r="CB73" s="2"/>
      <c r="CC73" s="2"/>
      <c r="CD73" s="2"/>
      <c r="CE73" s="2"/>
      <c r="CF73" s="2"/>
      <c r="CG73" s="2"/>
      <c r="CH73" s="2"/>
    </row>
    <row r="74" spans="1:86" x14ac:dyDescent="0.2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</row>
    <row r="75" spans="1:86" x14ac:dyDescent="0.2">
      <c r="A75" s="104"/>
      <c r="B75" s="105" t="s">
        <v>52</v>
      </c>
      <c r="C75" s="106" t="s">
        <v>53</v>
      </c>
      <c r="D75" s="107" t="s">
        <v>71</v>
      </c>
      <c r="E75" s="103"/>
      <c r="F75" s="104"/>
      <c r="G75" s="105" t="s">
        <v>52</v>
      </c>
      <c r="H75" s="106" t="s">
        <v>53</v>
      </c>
      <c r="I75" s="107" t="s">
        <v>71</v>
      </c>
      <c r="J75" s="103"/>
      <c r="K75" s="104"/>
      <c r="L75" s="105" t="s">
        <v>52</v>
      </c>
      <c r="M75" s="106" t="s">
        <v>53</v>
      </c>
      <c r="N75" s="107" t="s">
        <v>71</v>
      </c>
      <c r="O75" s="103"/>
      <c r="P75" s="104"/>
      <c r="Q75" s="105" t="s">
        <v>52</v>
      </c>
      <c r="R75" s="106" t="s">
        <v>53</v>
      </c>
      <c r="S75" s="107" t="s">
        <v>71</v>
      </c>
      <c r="U75" s="25"/>
      <c r="V75" s="85"/>
      <c r="W75" s="89"/>
      <c r="X75" s="85"/>
      <c r="Y75" s="25"/>
    </row>
    <row r="76" spans="1:86" x14ac:dyDescent="0.2">
      <c r="A76" s="108"/>
      <c r="B76" s="109" t="s">
        <v>54</v>
      </c>
      <c r="C76" s="109" t="s">
        <v>55</v>
      </c>
      <c r="D76" s="110" t="s">
        <v>1</v>
      </c>
      <c r="E76" s="103"/>
      <c r="F76" s="108"/>
      <c r="G76" s="109" t="s">
        <v>54</v>
      </c>
      <c r="H76" s="109" t="s">
        <v>55</v>
      </c>
      <c r="I76" s="110" t="s">
        <v>1</v>
      </c>
      <c r="J76" s="103"/>
      <c r="K76" s="108"/>
      <c r="L76" s="109" t="s">
        <v>54</v>
      </c>
      <c r="M76" s="109" t="s">
        <v>55</v>
      </c>
      <c r="N76" s="110" t="s">
        <v>1</v>
      </c>
      <c r="O76" s="103"/>
      <c r="P76" s="108"/>
      <c r="Q76" s="109" t="s">
        <v>54</v>
      </c>
      <c r="R76" s="109" t="s">
        <v>55</v>
      </c>
      <c r="S76" s="110" t="s">
        <v>1</v>
      </c>
      <c r="U76" s="25"/>
      <c r="V76" s="85"/>
      <c r="W76" s="85"/>
      <c r="X76" s="85"/>
      <c r="Y76" s="25"/>
    </row>
    <row r="77" spans="1:86" x14ac:dyDescent="0.2">
      <c r="A77" s="108" t="s">
        <v>214</v>
      </c>
      <c r="B77" s="109"/>
      <c r="C77" s="109"/>
      <c r="D77" s="110">
        <v>0.13</v>
      </c>
      <c r="E77" s="103"/>
      <c r="F77" s="108" t="s">
        <v>214</v>
      </c>
      <c r="G77" s="109"/>
      <c r="H77" s="109"/>
      <c r="I77" s="110">
        <v>0.13</v>
      </c>
      <c r="J77" s="103"/>
      <c r="K77" s="108" t="s">
        <v>214</v>
      </c>
      <c r="L77" s="109"/>
      <c r="M77" s="109"/>
      <c r="N77" s="110">
        <v>0.13</v>
      </c>
      <c r="O77" s="103"/>
      <c r="P77" s="108" t="s">
        <v>214</v>
      </c>
      <c r="Q77" s="109"/>
      <c r="R77" s="109"/>
      <c r="S77" s="110">
        <v>0.13</v>
      </c>
      <c r="U77" s="25"/>
      <c r="V77" s="85"/>
      <c r="W77" s="85"/>
      <c r="X77" s="85"/>
      <c r="Y77" s="25"/>
    </row>
    <row r="78" spans="1:86" x14ac:dyDescent="0.2">
      <c r="A78" s="108" t="s">
        <v>215</v>
      </c>
      <c r="B78" s="109">
        <v>150</v>
      </c>
      <c r="C78" s="109">
        <v>0.13</v>
      </c>
      <c r="D78" s="110">
        <f>(B78/1000)/C78</f>
        <v>1.1538461538461537</v>
      </c>
      <c r="E78" s="103"/>
      <c r="F78" s="108" t="s">
        <v>215</v>
      </c>
      <c r="G78" s="109">
        <v>150</v>
      </c>
      <c r="H78" s="109">
        <v>0.13</v>
      </c>
      <c r="I78" s="110">
        <f>(G78/1000)/H78</f>
        <v>1.1538461538461537</v>
      </c>
      <c r="J78" s="103"/>
      <c r="K78" s="108" t="s">
        <v>215</v>
      </c>
      <c r="L78" s="109">
        <v>150</v>
      </c>
      <c r="M78" s="109">
        <v>0.13</v>
      </c>
      <c r="N78" s="110">
        <f>(L78/1000)/M78</f>
        <v>1.1538461538461537</v>
      </c>
      <c r="O78" s="103"/>
      <c r="P78" s="108" t="s">
        <v>215</v>
      </c>
      <c r="Q78" s="109">
        <v>150</v>
      </c>
      <c r="R78" s="109">
        <v>0.13</v>
      </c>
      <c r="S78" s="110">
        <f>(Q78/1000)/R78</f>
        <v>1.1538461538461537</v>
      </c>
      <c r="U78" s="25"/>
      <c r="V78" s="85"/>
      <c r="W78" s="85"/>
      <c r="X78" s="85"/>
      <c r="Y78" s="25"/>
    </row>
    <row r="79" spans="1:86" x14ac:dyDescent="0.2">
      <c r="A79" s="108" t="s">
        <v>216</v>
      </c>
      <c r="B79" s="109">
        <v>60</v>
      </c>
      <c r="C79" s="109">
        <v>3.1E-2</v>
      </c>
      <c r="D79" s="110">
        <f>(B79/1000)/C79</f>
        <v>1.9354838709677418</v>
      </c>
      <c r="E79" s="103"/>
      <c r="F79" s="108" t="s">
        <v>216</v>
      </c>
      <c r="G79" s="109">
        <v>79</v>
      </c>
      <c r="H79" s="109">
        <v>3.1E-2</v>
      </c>
      <c r="I79" s="110">
        <f>(G79/1000)/H79</f>
        <v>2.5483870967741935</v>
      </c>
      <c r="J79" s="103"/>
      <c r="K79" s="108" t="s">
        <v>216</v>
      </c>
      <c r="L79" s="109">
        <v>93</v>
      </c>
      <c r="M79" s="109">
        <v>3.1E-2</v>
      </c>
      <c r="N79" s="110">
        <f>(L79/1000)/M79</f>
        <v>3</v>
      </c>
      <c r="O79" s="103"/>
      <c r="P79" s="108" t="s">
        <v>216</v>
      </c>
      <c r="Q79" s="109">
        <v>109</v>
      </c>
      <c r="R79" s="109">
        <v>3.1E-2</v>
      </c>
      <c r="S79" s="110">
        <f>(Q79/1000)/R79</f>
        <v>3.5161290322580645</v>
      </c>
      <c r="U79" s="25"/>
      <c r="V79" s="85"/>
      <c r="W79" s="85"/>
      <c r="X79" s="85"/>
      <c r="Y79" s="25"/>
    </row>
    <row r="80" spans="1:86" x14ac:dyDescent="0.2">
      <c r="A80" s="108" t="s">
        <v>217</v>
      </c>
      <c r="B80" s="109"/>
      <c r="C80" s="109"/>
      <c r="D80" s="110">
        <v>0</v>
      </c>
      <c r="E80" s="103"/>
      <c r="F80" s="108" t="s">
        <v>217</v>
      </c>
      <c r="G80" s="109"/>
      <c r="H80" s="109"/>
      <c r="I80" s="110">
        <v>0</v>
      </c>
      <c r="J80" s="103"/>
      <c r="K80" s="108" t="s">
        <v>217</v>
      </c>
      <c r="L80" s="109"/>
      <c r="M80" s="109"/>
      <c r="N80" s="110">
        <v>0</v>
      </c>
      <c r="O80" s="103"/>
      <c r="P80" s="108" t="s">
        <v>217</v>
      </c>
      <c r="Q80" s="109"/>
      <c r="R80" s="109"/>
      <c r="S80" s="110">
        <v>0</v>
      </c>
      <c r="U80" s="25"/>
      <c r="V80" s="85"/>
      <c r="W80" s="85"/>
      <c r="X80" s="85"/>
      <c r="Y80" s="25"/>
    </row>
    <row r="81" spans="1:25" x14ac:dyDescent="0.2">
      <c r="A81" s="108" t="s">
        <v>222</v>
      </c>
      <c r="B81" s="109"/>
      <c r="C81" s="109"/>
      <c r="D81" s="110">
        <v>0.09</v>
      </c>
      <c r="E81" s="103"/>
      <c r="F81" s="108" t="s">
        <v>222</v>
      </c>
      <c r="G81" s="109"/>
      <c r="H81" s="109"/>
      <c r="I81" s="110">
        <v>0.09</v>
      </c>
      <c r="J81" s="103"/>
      <c r="K81" s="108" t="s">
        <v>222</v>
      </c>
      <c r="L81" s="109"/>
      <c r="M81" s="109"/>
      <c r="N81" s="110">
        <v>0.09</v>
      </c>
      <c r="O81" s="103"/>
      <c r="P81" s="108" t="s">
        <v>222</v>
      </c>
      <c r="Q81" s="109"/>
      <c r="R81" s="109"/>
      <c r="S81" s="110">
        <v>0.09</v>
      </c>
      <c r="U81" s="25"/>
      <c r="V81" s="85"/>
      <c r="W81" s="85"/>
      <c r="X81" s="85"/>
      <c r="Y81" s="25"/>
    </row>
    <row r="82" spans="1:25" x14ac:dyDescent="0.2">
      <c r="A82" s="108" t="s">
        <v>218</v>
      </c>
      <c r="B82" s="109">
        <v>90</v>
      </c>
      <c r="C82" s="109">
        <v>1.31</v>
      </c>
      <c r="D82" s="110">
        <f>(B82/1000)/C82</f>
        <v>6.8702290076335867E-2</v>
      </c>
      <c r="E82" s="103"/>
      <c r="F82" s="108" t="s">
        <v>218</v>
      </c>
      <c r="G82" s="109">
        <v>90</v>
      </c>
      <c r="H82" s="109">
        <v>1.31</v>
      </c>
      <c r="I82" s="110">
        <f>(G82/1000)/H82</f>
        <v>6.8702290076335867E-2</v>
      </c>
      <c r="J82" s="103"/>
      <c r="K82" s="108" t="s">
        <v>218</v>
      </c>
      <c r="L82" s="109">
        <v>90</v>
      </c>
      <c r="M82" s="109">
        <v>1.31</v>
      </c>
      <c r="N82" s="110">
        <f>(L82/1000)/M82</f>
        <v>6.8702290076335867E-2</v>
      </c>
      <c r="O82" s="103"/>
      <c r="P82" s="108" t="s">
        <v>218</v>
      </c>
      <c r="Q82" s="109">
        <v>90</v>
      </c>
      <c r="R82" s="109">
        <v>1.31</v>
      </c>
      <c r="S82" s="110">
        <f>(Q82/1000)/R82</f>
        <v>6.8702290076335867E-2</v>
      </c>
      <c r="U82" s="25"/>
      <c r="V82" s="85"/>
      <c r="W82" s="85"/>
      <c r="X82" s="85"/>
      <c r="Y82" s="25"/>
    </row>
    <row r="83" spans="1:25" x14ac:dyDescent="0.2">
      <c r="A83" s="108" t="s">
        <v>219</v>
      </c>
      <c r="B83" s="109"/>
      <c r="C83" s="109"/>
      <c r="D83" s="110">
        <v>0.04</v>
      </c>
      <c r="E83" s="103"/>
      <c r="F83" s="108" t="s">
        <v>219</v>
      </c>
      <c r="G83" s="109"/>
      <c r="H83" s="109"/>
      <c r="I83" s="110">
        <v>0.04</v>
      </c>
      <c r="J83" s="103"/>
      <c r="K83" s="108" t="s">
        <v>219</v>
      </c>
      <c r="L83" s="109"/>
      <c r="M83" s="109"/>
      <c r="N83" s="110">
        <v>0.04</v>
      </c>
      <c r="O83" s="103"/>
      <c r="P83" s="108" t="s">
        <v>219</v>
      </c>
      <c r="Q83" s="109"/>
      <c r="R83" s="109"/>
      <c r="S83" s="110">
        <v>0.04</v>
      </c>
      <c r="U83" s="25"/>
      <c r="V83" s="85"/>
      <c r="W83" s="85"/>
      <c r="X83" s="85"/>
      <c r="Y83" s="25"/>
    </row>
    <row r="84" spans="1:25" x14ac:dyDescent="0.2">
      <c r="A84" s="108"/>
      <c r="B84" s="109"/>
      <c r="C84" s="109"/>
      <c r="D84" s="110"/>
      <c r="E84" s="103"/>
      <c r="F84" s="108"/>
      <c r="G84" s="109"/>
      <c r="H84" s="109"/>
      <c r="I84" s="110"/>
      <c r="J84" s="103"/>
      <c r="K84" s="108"/>
      <c r="L84" s="109"/>
      <c r="M84" s="109"/>
      <c r="N84" s="110"/>
      <c r="O84" s="103"/>
      <c r="P84" s="108"/>
      <c r="Q84" s="109"/>
      <c r="R84" s="109"/>
      <c r="S84" s="110"/>
      <c r="U84" s="25"/>
      <c r="V84" s="85"/>
      <c r="W84" s="85"/>
      <c r="X84" s="85"/>
      <c r="Y84" s="25"/>
    </row>
    <row r="85" spans="1:25" x14ac:dyDescent="0.2">
      <c r="A85" s="108" t="s">
        <v>220</v>
      </c>
      <c r="B85" s="109"/>
      <c r="C85" s="109"/>
      <c r="D85" s="110">
        <v>-0.1</v>
      </c>
      <c r="E85" s="103"/>
      <c r="F85" s="108" t="s">
        <v>220</v>
      </c>
      <c r="G85" s="109"/>
      <c r="H85" s="109"/>
      <c r="I85" s="110">
        <v>-0.1</v>
      </c>
      <c r="J85" s="103"/>
      <c r="K85" s="108" t="s">
        <v>220</v>
      </c>
      <c r="L85" s="109"/>
      <c r="M85" s="109"/>
      <c r="N85" s="110">
        <v>-0.1</v>
      </c>
      <c r="O85" s="103"/>
      <c r="P85" s="108" t="s">
        <v>220</v>
      </c>
      <c r="Q85" s="109"/>
      <c r="R85" s="109"/>
      <c r="S85" s="110">
        <v>-0.1</v>
      </c>
      <c r="U85" s="25"/>
      <c r="V85" s="85"/>
      <c r="W85" s="85"/>
      <c r="X85" s="85"/>
      <c r="Y85" s="25"/>
    </row>
    <row r="86" spans="1:25" x14ac:dyDescent="0.2">
      <c r="A86" s="108"/>
      <c r="B86" s="109"/>
      <c r="C86" s="109"/>
      <c r="D86" s="110"/>
      <c r="E86" s="103"/>
      <c r="F86" s="108"/>
      <c r="G86" s="109"/>
      <c r="H86" s="109"/>
      <c r="I86" s="110"/>
      <c r="J86" s="103"/>
      <c r="K86" s="108"/>
      <c r="L86" s="109"/>
      <c r="M86" s="109"/>
      <c r="N86" s="110"/>
      <c r="O86" s="103"/>
      <c r="P86" s="108"/>
      <c r="Q86" s="109"/>
      <c r="R86" s="109"/>
      <c r="S86" s="110"/>
      <c r="U86" s="25"/>
      <c r="V86" s="85"/>
      <c r="W86" s="85"/>
      <c r="X86" s="85"/>
      <c r="Y86" s="25"/>
    </row>
    <row r="87" spans="1:25" ht="18.75" x14ac:dyDescent="0.35">
      <c r="A87" s="111" t="s">
        <v>221</v>
      </c>
      <c r="B87" s="112"/>
      <c r="C87" s="112"/>
      <c r="D87" s="166">
        <f>FLOOR(SUM(D77:D85),0.05)</f>
        <v>3.3000000000000003</v>
      </c>
      <c r="E87" s="103"/>
      <c r="F87" s="111" t="s">
        <v>221</v>
      </c>
      <c r="G87" s="112"/>
      <c r="H87" s="112"/>
      <c r="I87" s="165">
        <f>FLOOR(SUM(I77:I85),0.05)</f>
        <v>3.9000000000000004</v>
      </c>
      <c r="J87" s="103"/>
      <c r="K87" s="111" t="s">
        <v>221</v>
      </c>
      <c r="L87" s="112"/>
      <c r="M87" s="112"/>
      <c r="N87" s="113">
        <f>FLOOR(SUM(N77:N85),0.05)</f>
        <v>4.3500000000000005</v>
      </c>
      <c r="O87" s="103"/>
      <c r="P87" s="111" t="s">
        <v>221</v>
      </c>
      <c r="Q87" s="112"/>
      <c r="R87" s="112"/>
      <c r="S87" s="113">
        <f>FLOOR(SUM(S77:S85),0.05)</f>
        <v>4.8500000000000005</v>
      </c>
      <c r="U87" s="90"/>
      <c r="V87" s="91"/>
      <c r="W87" s="91"/>
      <c r="X87" s="91"/>
      <c r="Y87" s="25"/>
    </row>
    <row r="88" spans="1:25" x14ac:dyDescent="0.2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U88" s="25"/>
      <c r="V88" s="25"/>
      <c r="W88" s="25"/>
      <c r="X88" s="25"/>
      <c r="Y88" s="25"/>
    </row>
    <row r="89" spans="1:25" x14ac:dyDescent="0.2">
      <c r="A89" s="104"/>
      <c r="B89" s="105" t="s">
        <v>52</v>
      </c>
      <c r="C89" s="106" t="s">
        <v>53</v>
      </c>
      <c r="D89" s="107" t="s">
        <v>71</v>
      </c>
      <c r="E89" s="103"/>
      <c r="F89" s="104"/>
      <c r="G89" s="105" t="s">
        <v>52</v>
      </c>
      <c r="H89" s="106" t="s">
        <v>53</v>
      </c>
      <c r="I89" s="107" t="s">
        <v>71</v>
      </c>
      <c r="J89" s="103"/>
      <c r="K89" s="104"/>
      <c r="L89" s="105" t="s">
        <v>52</v>
      </c>
      <c r="M89" s="106" t="s">
        <v>53</v>
      </c>
      <c r="N89" s="107" t="s">
        <v>71</v>
      </c>
      <c r="O89" s="103"/>
      <c r="P89" s="104"/>
      <c r="Q89" s="105" t="s">
        <v>52</v>
      </c>
      <c r="R89" s="106" t="s">
        <v>53</v>
      </c>
      <c r="S89" s="107" t="s">
        <v>71</v>
      </c>
    </row>
    <row r="90" spans="1:25" x14ac:dyDescent="0.2">
      <c r="A90" s="108"/>
      <c r="B90" s="109" t="s">
        <v>54</v>
      </c>
      <c r="C90" s="109" t="s">
        <v>55</v>
      </c>
      <c r="D90" s="110" t="s">
        <v>1</v>
      </c>
      <c r="E90" s="103"/>
      <c r="F90" s="108"/>
      <c r="G90" s="109" t="s">
        <v>54</v>
      </c>
      <c r="H90" s="109" t="s">
        <v>55</v>
      </c>
      <c r="I90" s="110" t="s">
        <v>1</v>
      </c>
      <c r="J90" s="103"/>
      <c r="K90" s="108"/>
      <c r="L90" s="109" t="s">
        <v>54</v>
      </c>
      <c r="M90" s="109" t="s">
        <v>55</v>
      </c>
      <c r="N90" s="110" t="s">
        <v>1</v>
      </c>
      <c r="O90" s="103"/>
      <c r="P90" s="108"/>
      <c r="Q90" s="109" t="s">
        <v>54</v>
      </c>
      <c r="R90" s="109" t="s">
        <v>55</v>
      </c>
      <c r="S90" s="110" t="s">
        <v>1</v>
      </c>
    </row>
    <row r="91" spans="1:25" x14ac:dyDescent="0.2">
      <c r="A91" s="108" t="s">
        <v>214</v>
      </c>
      <c r="B91" s="109"/>
      <c r="C91" s="109"/>
      <c r="D91" s="110">
        <v>0.13</v>
      </c>
      <c r="E91" s="103"/>
      <c r="F91" s="108" t="s">
        <v>214</v>
      </c>
      <c r="G91" s="109"/>
      <c r="H91" s="109"/>
      <c r="I91" s="110">
        <v>0.13</v>
      </c>
      <c r="J91" s="103"/>
      <c r="K91" s="108" t="s">
        <v>214</v>
      </c>
      <c r="L91" s="109"/>
      <c r="M91" s="109"/>
      <c r="N91" s="110">
        <v>0.13</v>
      </c>
      <c r="O91" s="103"/>
      <c r="P91" s="108" t="s">
        <v>214</v>
      </c>
      <c r="Q91" s="109"/>
      <c r="R91" s="109"/>
      <c r="S91" s="110">
        <v>0.13</v>
      </c>
    </row>
    <row r="92" spans="1:25" x14ac:dyDescent="0.2">
      <c r="A92" s="108" t="s">
        <v>215</v>
      </c>
      <c r="B92" s="109">
        <v>160</v>
      </c>
      <c r="C92" s="109">
        <v>0.13</v>
      </c>
      <c r="D92" s="110">
        <f>(B92/1000)/C92</f>
        <v>1.2307692307692308</v>
      </c>
      <c r="E92" s="103"/>
      <c r="F92" s="108" t="s">
        <v>215</v>
      </c>
      <c r="G92" s="109">
        <v>160</v>
      </c>
      <c r="H92" s="109">
        <v>0.13</v>
      </c>
      <c r="I92" s="110">
        <f>(G92/1000)/H92</f>
        <v>1.2307692307692308</v>
      </c>
      <c r="J92" s="103"/>
      <c r="K92" s="108" t="s">
        <v>215</v>
      </c>
      <c r="L92" s="109">
        <v>160</v>
      </c>
      <c r="M92" s="109">
        <v>0.13</v>
      </c>
      <c r="N92" s="110">
        <f>(L92/1000)/M92</f>
        <v>1.2307692307692308</v>
      </c>
      <c r="O92" s="103"/>
      <c r="P92" s="108" t="s">
        <v>215</v>
      </c>
      <c r="Q92" s="109">
        <v>160</v>
      </c>
      <c r="R92" s="109">
        <v>0.13</v>
      </c>
      <c r="S92" s="110">
        <f>(Q92/1000)/R92</f>
        <v>1.2307692307692308</v>
      </c>
    </row>
    <row r="93" spans="1:25" x14ac:dyDescent="0.2">
      <c r="A93" s="108" t="s">
        <v>216</v>
      </c>
      <c r="B93" s="109">
        <v>60</v>
      </c>
      <c r="C93" s="109">
        <v>3.1E-2</v>
      </c>
      <c r="D93" s="110">
        <f>(B93/1000)/C93</f>
        <v>1.9354838709677418</v>
      </c>
      <c r="E93" s="103"/>
      <c r="F93" s="108" t="s">
        <v>216</v>
      </c>
      <c r="G93" s="109">
        <v>79</v>
      </c>
      <c r="H93" s="109">
        <v>3.1E-2</v>
      </c>
      <c r="I93" s="110">
        <f>(G93/1000)/H93</f>
        <v>2.5483870967741935</v>
      </c>
      <c r="J93" s="103"/>
      <c r="K93" s="108" t="s">
        <v>216</v>
      </c>
      <c r="L93" s="109">
        <v>93</v>
      </c>
      <c r="M93" s="109">
        <v>3.1E-2</v>
      </c>
      <c r="N93" s="110">
        <f>(L93/1000)/M93</f>
        <v>3</v>
      </c>
      <c r="O93" s="103"/>
      <c r="P93" s="108" t="s">
        <v>216</v>
      </c>
      <c r="Q93" s="109">
        <v>109</v>
      </c>
      <c r="R93" s="109">
        <v>3.1E-2</v>
      </c>
      <c r="S93" s="110">
        <f>(Q93/1000)/R93</f>
        <v>3.5161290322580645</v>
      </c>
    </row>
    <row r="94" spans="1:25" x14ac:dyDescent="0.2">
      <c r="A94" s="108" t="s">
        <v>217</v>
      </c>
      <c r="B94" s="109"/>
      <c r="C94" s="109"/>
      <c r="D94" s="110">
        <v>0</v>
      </c>
      <c r="E94" s="103"/>
      <c r="F94" s="108" t="s">
        <v>217</v>
      </c>
      <c r="G94" s="109"/>
      <c r="H94" s="109"/>
      <c r="I94" s="110">
        <v>0</v>
      </c>
      <c r="J94" s="103"/>
      <c r="K94" s="108" t="s">
        <v>217</v>
      </c>
      <c r="L94" s="109"/>
      <c r="M94" s="109"/>
      <c r="N94" s="110">
        <v>0</v>
      </c>
      <c r="O94" s="103"/>
      <c r="P94" s="108" t="s">
        <v>217</v>
      </c>
      <c r="Q94" s="109"/>
      <c r="R94" s="109"/>
      <c r="S94" s="110">
        <v>0</v>
      </c>
    </row>
    <row r="95" spans="1:25" x14ac:dyDescent="0.2">
      <c r="A95" s="108" t="s">
        <v>222</v>
      </c>
      <c r="B95" s="109"/>
      <c r="C95" s="109"/>
      <c r="D95" s="110">
        <v>0.09</v>
      </c>
      <c r="E95" s="103"/>
      <c r="F95" s="108" t="s">
        <v>222</v>
      </c>
      <c r="G95" s="109"/>
      <c r="H95" s="109"/>
      <c r="I95" s="110">
        <v>0.09</v>
      </c>
      <c r="J95" s="103"/>
      <c r="K95" s="108" t="s">
        <v>222</v>
      </c>
      <c r="L95" s="109"/>
      <c r="M95" s="109"/>
      <c r="N95" s="110">
        <v>0.09</v>
      </c>
      <c r="O95" s="103"/>
      <c r="P95" s="108" t="s">
        <v>222</v>
      </c>
      <c r="Q95" s="109"/>
      <c r="R95" s="109"/>
      <c r="S95" s="110">
        <v>0.09</v>
      </c>
    </row>
    <row r="96" spans="1:25" x14ac:dyDescent="0.2">
      <c r="A96" s="108" t="s">
        <v>218</v>
      </c>
      <c r="B96" s="109">
        <v>90</v>
      </c>
      <c r="C96" s="109">
        <v>1.31</v>
      </c>
      <c r="D96" s="110">
        <f>(B96/1000)/C96</f>
        <v>6.8702290076335867E-2</v>
      </c>
      <c r="E96" s="103"/>
      <c r="F96" s="108" t="s">
        <v>218</v>
      </c>
      <c r="G96" s="109">
        <v>90</v>
      </c>
      <c r="H96" s="109">
        <v>1.31</v>
      </c>
      <c r="I96" s="110">
        <f>(G96/1000)/H96</f>
        <v>6.8702290076335867E-2</v>
      </c>
      <c r="J96" s="103"/>
      <c r="K96" s="108" t="s">
        <v>218</v>
      </c>
      <c r="L96" s="109">
        <v>90</v>
      </c>
      <c r="M96" s="109">
        <v>1.31</v>
      </c>
      <c r="N96" s="110">
        <f>(L96/1000)/M96</f>
        <v>6.8702290076335867E-2</v>
      </c>
      <c r="O96" s="103"/>
      <c r="P96" s="108" t="s">
        <v>218</v>
      </c>
      <c r="Q96" s="109">
        <v>90</v>
      </c>
      <c r="R96" s="109">
        <v>1.31</v>
      </c>
      <c r="S96" s="110">
        <f>(Q96/1000)/R96</f>
        <v>6.8702290076335867E-2</v>
      </c>
    </row>
    <row r="97" spans="1:19" x14ac:dyDescent="0.2">
      <c r="A97" s="108" t="s">
        <v>219</v>
      </c>
      <c r="B97" s="109"/>
      <c r="C97" s="109"/>
      <c r="D97" s="110">
        <v>0.04</v>
      </c>
      <c r="E97" s="103"/>
      <c r="F97" s="108" t="s">
        <v>219</v>
      </c>
      <c r="G97" s="109"/>
      <c r="H97" s="109"/>
      <c r="I97" s="110">
        <v>0.04</v>
      </c>
      <c r="J97" s="103"/>
      <c r="K97" s="108" t="s">
        <v>219</v>
      </c>
      <c r="L97" s="109"/>
      <c r="M97" s="109"/>
      <c r="N97" s="110">
        <v>0.04</v>
      </c>
      <c r="O97" s="103"/>
      <c r="P97" s="108" t="s">
        <v>219</v>
      </c>
      <c r="Q97" s="109"/>
      <c r="R97" s="109"/>
      <c r="S97" s="110">
        <v>0.04</v>
      </c>
    </row>
    <row r="98" spans="1:19" x14ac:dyDescent="0.2">
      <c r="A98" s="108"/>
      <c r="B98" s="109"/>
      <c r="C98" s="109"/>
      <c r="D98" s="110"/>
      <c r="E98" s="103"/>
      <c r="F98" s="108"/>
      <c r="G98" s="109"/>
      <c r="H98" s="109"/>
      <c r="I98" s="110"/>
      <c r="J98" s="103"/>
      <c r="K98" s="108"/>
      <c r="L98" s="109"/>
      <c r="M98" s="109"/>
      <c r="N98" s="110"/>
      <c r="O98" s="103"/>
      <c r="P98" s="108"/>
      <c r="Q98" s="109"/>
      <c r="R98" s="109"/>
      <c r="S98" s="110"/>
    </row>
    <row r="99" spans="1:19" x14ac:dyDescent="0.2">
      <c r="A99" s="108" t="s">
        <v>220</v>
      </c>
      <c r="B99" s="109"/>
      <c r="C99" s="109"/>
      <c r="D99" s="110">
        <v>-0.1</v>
      </c>
      <c r="E99" s="103"/>
      <c r="F99" s="108" t="s">
        <v>220</v>
      </c>
      <c r="G99" s="109"/>
      <c r="H99" s="109"/>
      <c r="I99" s="110">
        <v>-0.1</v>
      </c>
      <c r="J99" s="103"/>
      <c r="K99" s="108" t="s">
        <v>220</v>
      </c>
      <c r="L99" s="109"/>
      <c r="M99" s="109"/>
      <c r="N99" s="110">
        <v>-0.1</v>
      </c>
      <c r="O99" s="103"/>
      <c r="P99" s="108" t="s">
        <v>220</v>
      </c>
      <c r="Q99" s="109"/>
      <c r="R99" s="109"/>
      <c r="S99" s="110">
        <v>-0.1</v>
      </c>
    </row>
    <row r="100" spans="1:19" x14ac:dyDescent="0.2">
      <c r="A100" s="108"/>
      <c r="B100" s="109"/>
      <c r="C100" s="109"/>
      <c r="D100" s="110"/>
      <c r="E100" s="103"/>
      <c r="F100" s="108"/>
      <c r="G100" s="109"/>
      <c r="H100" s="109"/>
      <c r="I100" s="110"/>
      <c r="J100" s="103"/>
      <c r="K100" s="108"/>
      <c r="L100" s="109"/>
      <c r="M100" s="109"/>
      <c r="N100" s="110"/>
      <c r="O100" s="103"/>
      <c r="P100" s="108"/>
      <c r="Q100" s="109"/>
      <c r="R100" s="109"/>
      <c r="S100" s="110"/>
    </row>
    <row r="101" spans="1:19" ht="18.75" x14ac:dyDescent="0.35">
      <c r="A101" s="111" t="s">
        <v>221</v>
      </c>
      <c r="B101" s="112"/>
      <c r="C101" s="112"/>
      <c r="D101" s="113">
        <f>FLOOR(SUM(D91:D99),0.05)</f>
        <v>3.35</v>
      </c>
      <c r="E101" s="103"/>
      <c r="F101" s="111" t="s">
        <v>221</v>
      </c>
      <c r="G101" s="112"/>
      <c r="H101" s="112"/>
      <c r="I101" s="165">
        <f>FLOOR(SUM(I91:I99),0.05)</f>
        <v>4</v>
      </c>
      <c r="J101" s="103"/>
      <c r="K101" s="111" t="s">
        <v>221</v>
      </c>
      <c r="L101" s="112"/>
      <c r="M101" s="112"/>
      <c r="N101" s="113">
        <f>FLOOR(SUM(N91:N99),0.05)</f>
        <v>4.45</v>
      </c>
      <c r="O101" s="103"/>
      <c r="P101" s="111" t="s">
        <v>221</v>
      </c>
      <c r="Q101" s="112"/>
      <c r="R101" s="112"/>
      <c r="S101" s="113">
        <f>FLOOR(SUM(S91:S99),0.05)</f>
        <v>4.95</v>
      </c>
    </row>
    <row r="102" spans="1:19" x14ac:dyDescent="0.2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</row>
    <row r="103" spans="1:19" x14ac:dyDescent="0.2">
      <c r="A103" s="104"/>
      <c r="B103" s="105" t="s">
        <v>52</v>
      </c>
      <c r="C103" s="106" t="s">
        <v>53</v>
      </c>
      <c r="D103" s="107" t="s">
        <v>71</v>
      </c>
      <c r="E103" s="103"/>
      <c r="F103" s="104"/>
      <c r="G103" s="105" t="s">
        <v>52</v>
      </c>
      <c r="H103" s="106" t="s">
        <v>53</v>
      </c>
      <c r="I103" s="107" t="s">
        <v>71</v>
      </c>
      <c r="J103" s="103"/>
      <c r="K103" s="104"/>
      <c r="L103" s="105" t="s">
        <v>52</v>
      </c>
      <c r="M103" s="106" t="s">
        <v>53</v>
      </c>
      <c r="N103" s="107" t="s">
        <v>71</v>
      </c>
      <c r="O103" s="103"/>
      <c r="P103" s="104"/>
      <c r="Q103" s="105" t="s">
        <v>52</v>
      </c>
      <c r="R103" s="106" t="s">
        <v>53</v>
      </c>
      <c r="S103" s="107" t="s">
        <v>71</v>
      </c>
    </row>
    <row r="104" spans="1:19" x14ac:dyDescent="0.2">
      <c r="A104" s="108"/>
      <c r="B104" s="109" t="s">
        <v>54</v>
      </c>
      <c r="C104" s="109" t="s">
        <v>55</v>
      </c>
      <c r="D104" s="110" t="s">
        <v>1</v>
      </c>
      <c r="E104" s="103"/>
      <c r="F104" s="108"/>
      <c r="G104" s="109" t="s">
        <v>54</v>
      </c>
      <c r="H104" s="109" t="s">
        <v>55</v>
      </c>
      <c r="I104" s="110" t="s">
        <v>1</v>
      </c>
      <c r="J104" s="103"/>
      <c r="K104" s="108"/>
      <c r="L104" s="109" t="s">
        <v>54</v>
      </c>
      <c r="M104" s="109" t="s">
        <v>55</v>
      </c>
      <c r="N104" s="110" t="s">
        <v>1</v>
      </c>
      <c r="O104" s="103"/>
      <c r="P104" s="108"/>
      <c r="Q104" s="109" t="s">
        <v>54</v>
      </c>
      <c r="R104" s="109" t="s">
        <v>55</v>
      </c>
      <c r="S104" s="110" t="s">
        <v>1</v>
      </c>
    </row>
    <row r="105" spans="1:19" x14ac:dyDescent="0.2">
      <c r="A105" s="108" t="s">
        <v>214</v>
      </c>
      <c r="B105" s="109"/>
      <c r="C105" s="109"/>
      <c r="D105" s="110">
        <v>0.13</v>
      </c>
      <c r="E105" s="103"/>
      <c r="F105" s="108" t="s">
        <v>214</v>
      </c>
      <c r="G105" s="109"/>
      <c r="H105" s="109"/>
      <c r="I105" s="110">
        <v>0.13</v>
      </c>
      <c r="J105" s="103"/>
      <c r="K105" s="108" t="s">
        <v>214</v>
      </c>
      <c r="L105" s="109"/>
      <c r="M105" s="109"/>
      <c r="N105" s="110">
        <v>0.13</v>
      </c>
      <c r="O105" s="103"/>
      <c r="P105" s="108" t="s">
        <v>214</v>
      </c>
      <c r="Q105" s="109"/>
      <c r="R105" s="109"/>
      <c r="S105" s="110">
        <v>0.13</v>
      </c>
    </row>
    <row r="106" spans="1:19" x14ac:dyDescent="0.2">
      <c r="A106" s="108" t="s">
        <v>215</v>
      </c>
      <c r="B106" s="109">
        <v>166</v>
      </c>
      <c r="C106" s="109">
        <v>0.13</v>
      </c>
      <c r="D106" s="110">
        <f>(B106/1000)/C106</f>
        <v>1.276923076923077</v>
      </c>
      <c r="E106" s="103"/>
      <c r="F106" s="108" t="s">
        <v>215</v>
      </c>
      <c r="G106" s="109">
        <v>166</v>
      </c>
      <c r="H106" s="109">
        <v>0.13</v>
      </c>
      <c r="I106" s="110">
        <f>(G106/1000)/H106</f>
        <v>1.276923076923077</v>
      </c>
      <c r="J106" s="103"/>
      <c r="K106" s="108" t="s">
        <v>215</v>
      </c>
      <c r="L106" s="109">
        <v>166</v>
      </c>
      <c r="M106" s="109">
        <v>0.13</v>
      </c>
      <c r="N106" s="110">
        <f>(L106/1000)/M106</f>
        <v>1.276923076923077</v>
      </c>
      <c r="O106" s="103"/>
      <c r="P106" s="108" t="s">
        <v>215</v>
      </c>
      <c r="Q106" s="109">
        <v>166</v>
      </c>
      <c r="R106" s="109">
        <v>0.13</v>
      </c>
      <c r="S106" s="110">
        <f>(Q106/1000)/R106</f>
        <v>1.276923076923077</v>
      </c>
    </row>
    <row r="107" spans="1:19" x14ac:dyDescent="0.2">
      <c r="A107" s="108" t="s">
        <v>216</v>
      </c>
      <c r="B107" s="109">
        <v>60</v>
      </c>
      <c r="C107" s="109">
        <v>3.1E-2</v>
      </c>
      <c r="D107" s="110">
        <f>(B107/1000)/C107</f>
        <v>1.9354838709677418</v>
      </c>
      <c r="E107" s="103"/>
      <c r="F107" s="108" t="s">
        <v>216</v>
      </c>
      <c r="G107" s="109">
        <v>79</v>
      </c>
      <c r="H107" s="109">
        <v>3.1E-2</v>
      </c>
      <c r="I107" s="110">
        <f>(G107/1000)/H107</f>
        <v>2.5483870967741935</v>
      </c>
      <c r="J107" s="103"/>
      <c r="K107" s="108" t="s">
        <v>216</v>
      </c>
      <c r="L107" s="109">
        <v>93</v>
      </c>
      <c r="M107" s="109">
        <v>3.1E-2</v>
      </c>
      <c r="N107" s="110">
        <f>(L107/1000)/M107</f>
        <v>3</v>
      </c>
      <c r="O107" s="103"/>
      <c r="P107" s="108" t="s">
        <v>216</v>
      </c>
      <c r="Q107" s="109">
        <v>109</v>
      </c>
      <c r="R107" s="109">
        <v>3.1E-2</v>
      </c>
      <c r="S107" s="110">
        <f>(Q107/1000)/R107</f>
        <v>3.5161290322580645</v>
      </c>
    </row>
    <row r="108" spans="1:19" x14ac:dyDescent="0.2">
      <c r="A108" s="108" t="s">
        <v>217</v>
      </c>
      <c r="B108" s="109"/>
      <c r="C108" s="109"/>
      <c r="D108" s="110">
        <v>0</v>
      </c>
      <c r="E108" s="103"/>
      <c r="F108" s="108" t="s">
        <v>217</v>
      </c>
      <c r="G108" s="109"/>
      <c r="H108" s="109"/>
      <c r="I108" s="110">
        <v>0</v>
      </c>
      <c r="J108" s="103"/>
      <c r="K108" s="108" t="s">
        <v>217</v>
      </c>
      <c r="L108" s="109"/>
      <c r="M108" s="109"/>
      <c r="N108" s="110">
        <v>0</v>
      </c>
      <c r="O108" s="103"/>
      <c r="P108" s="108" t="s">
        <v>217</v>
      </c>
      <c r="Q108" s="109"/>
      <c r="R108" s="109"/>
      <c r="S108" s="110">
        <v>0</v>
      </c>
    </row>
    <row r="109" spans="1:19" x14ac:dyDescent="0.2">
      <c r="A109" s="108" t="s">
        <v>222</v>
      </c>
      <c r="B109" s="109"/>
      <c r="C109" s="109"/>
      <c r="D109" s="110">
        <v>0.09</v>
      </c>
      <c r="E109" s="103"/>
      <c r="F109" s="108" t="s">
        <v>222</v>
      </c>
      <c r="G109" s="109"/>
      <c r="H109" s="109"/>
      <c r="I109" s="110">
        <v>0.09</v>
      </c>
      <c r="J109" s="103"/>
      <c r="K109" s="108" t="s">
        <v>222</v>
      </c>
      <c r="L109" s="109"/>
      <c r="M109" s="109"/>
      <c r="N109" s="110">
        <v>0.09</v>
      </c>
      <c r="O109" s="103"/>
      <c r="P109" s="108" t="s">
        <v>222</v>
      </c>
      <c r="Q109" s="109"/>
      <c r="R109" s="109"/>
      <c r="S109" s="110">
        <v>0.09</v>
      </c>
    </row>
    <row r="110" spans="1:19" x14ac:dyDescent="0.2">
      <c r="A110" s="108" t="s">
        <v>218</v>
      </c>
      <c r="B110" s="109">
        <v>90</v>
      </c>
      <c r="C110" s="109">
        <v>1.31</v>
      </c>
      <c r="D110" s="110">
        <f>(B110/1000)/C110</f>
        <v>6.8702290076335867E-2</v>
      </c>
      <c r="E110" s="103"/>
      <c r="F110" s="108" t="s">
        <v>218</v>
      </c>
      <c r="G110" s="109">
        <v>90</v>
      </c>
      <c r="H110" s="109">
        <v>1.31</v>
      </c>
      <c r="I110" s="110">
        <f>(G110/1000)/H110</f>
        <v>6.8702290076335867E-2</v>
      </c>
      <c r="J110" s="103"/>
      <c r="K110" s="108" t="s">
        <v>218</v>
      </c>
      <c r="L110" s="109">
        <v>90</v>
      </c>
      <c r="M110" s="109">
        <v>1.31</v>
      </c>
      <c r="N110" s="110">
        <f>(L110/1000)/M110</f>
        <v>6.8702290076335867E-2</v>
      </c>
      <c r="O110" s="103"/>
      <c r="P110" s="108" t="s">
        <v>218</v>
      </c>
      <c r="Q110" s="109">
        <v>90</v>
      </c>
      <c r="R110" s="109">
        <v>1.31</v>
      </c>
      <c r="S110" s="110">
        <f>(Q110/1000)/R110</f>
        <v>6.8702290076335867E-2</v>
      </c>
    </row>
    <row r="111" spans="1:19" x14ac:dyDescent="0.2">
      <c r="A111" s="108" t="s">
        <v>219</v>
      </c>
      <c r="B111" s="109"/>
      <c r="C111" s="109"/>
      <c r="D111" s="110">
        <v>0.04</v>
      </c>
      <c r="E111" s="103"/>
      <c r="F111" s="108" t="s">
        <v>219</v>
      </c>
      <c r="G111" s="109"/>
      <c r="H111" s="109"/>
      <c r="I111" s="110">
        <v>0.04</v>
      </c>
      <c r="J111" s="103"/>
      <c r="K111" s="108" t="s">
        <v>219</v>
      </c>
      <c r="L111" s="109"/>
      <c r="M111" s="109"/>
      <c r="N111" s="110">
        <v>0.04</v>
      </c>
      <c r="O111" s="103"/>
      <c r="P111" s="108" t="s">
        <v>219</v>
      </c>
      <c r="Q111" s="109"/>
      <c r="R111" s="109"/>
      <c r="S111" s="110">
        <v>0.04</v>
      </c>
    </row>
    <row r="112" spans="1:19" x14ac:dyDescent="0.2">
      <c r="A112" s="108"/>
      <c r="B112" s="109"/>
      <c r="C112" s="109"/>
      <c r="D112" s="110"/>
      <c r="E112" s="103"/>
      <c r="F112" s="108"/>
      <c r="G112" s="109"/>
      <c r="H112" s="109"/>
      <c r="I112" s="110"/>
      <c r="J112" s="103"/>
      <c r="K112" s="108"/>
      <c r="L112" s="109"/>
      <c r="M112" s="109"/>
      <c r="N112" s="110"/>
      <c r="O112" s="103"/>
      <c r="P112" s="108"/>
      <c r="Q112" s="109"/>
      <c r="R112" s="109"/>
      <c r="S112" s="110"/>
    </row>
    <row r="113" spans="1:19" x14ac:dyDescent="0.2">
      <c r="A113" s="108" t="s">
        <v>220</v>
      </c>
      <c r="B113" s="109"/>
      <c r="C113" s="109"/>
      <c r="D113" s="110">
        <v>-0.1</v>
      </c>
      <c r="E113" s="103"/>
      <c r="F113" s="108" t="s">
        <v>220</v>
      </c>
      <c r="G113" s="109"/>
      <c r="H113" s="109"/>
      <c r="I113" s="110">
        <v>-0.1</v>
      </c>
      <c r="J113" s="103"/>
      <c r="K113" s="108" t="s">
        <v>220</v>
      </c>
      <c r="L113" s="109"/>
      <c r="M113" s="109"/>
      <c r="N113" s="110">
        <v>-0.1</v>
      </c>
      <c r="O113" s="103"/>
      <c r="P113" s="108" t="s">
        <v>220</v>
      </c>
      <c r="Q113" s="109"/>
      <c r="R113" s="109"/>
      <c r="S113" s="110">
        <v>-0.1</v>
      </c>
    </row>
    <row r="114" spans="1:19" x14ac:dyDescent="0.2">
      <c r="A114" s="108"/>
      <c r="B114" s="109"/>
      <c r="C114" s="109"/>
      <c r="D114" s="110"/>
      <c r="E114" s="103"/>
      <c r="F114" s="108"/>
      <c r="G114" s="109"/>
      <c r="H114" s="109"/>
      <c r="I114" s="110"/>
      <c r="J114" s="103"/>
      <c r="K114" s="108"/>
      <c r="L114" s="109"/>
      <c r="M114" s="109"/>
      <c r="N114" s="110"/>
      <c r="O114" s="103"/>
      <c r="P114" s="108"/>
      <c r="Q114" s="109"/>
      <c r="R114" s="109"/>
      <c r="S114" s="110"/>
    </row>
    <row r="115" spans="1:19" ht="18.75" x14ac:dyDescent="0.35">
      <c r="A115" s="111" t="s">
        <v>221</v>
      </c>
      <c r="B115" s="112"/>
      <c r="C115" s="112"/>
      <c r="D115" s="165">
        <f>FLOOR(SUM(D105:D113),0.05)</f>
        <v>3.4000000000000004</v>
      </c>
      <c r="E115" s="103"/>
      <c r="F115" s="111" t="s">
        <v>221</v>
      </c>
      <c r="G115" s="112"/>
      <c r="H115" s="112"/>
      <c r="I115" s="113">
        <f>FLOOR(SUM(I105:I113),0.05)</f>
        <v>4.05</v>
      </c>
      <c r="J115" s="103"/>
      <c r="K115" s="111" t="s">
        <v>221</v>
      </c>
      <c r="L115" s="112"/>
      <c r="M115" s="112"/>
      <c r="N115" s="113">
        <f>FLOOR(SUM(N105:N113),0.05)</f>
        <v>4.5</v>
      </c>
      <c r="O115" s="103"/>
      <c r="P115" s="111" t="s">
        <v>221</v>
      </c>
      <c r="Q115" s="112"/>
      <c r="R115" s="112"/>
      <c r="S115" s="165">
        <f>FLOOR(SUM(S105:S113),0.05)</f>
        <v>5</v>
      </c>
    </row>
    <row r="116" spans="1:19" x14ac:dyDescent="0.2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</row>
    <row r="117" spans="1:19" x14ac:dyDescent="0.2">
      <c r="A117" s="104"/>
      <c r="B117" s="105" t="s">
        <v>52</v>
      </c>
      <c r="C117" s="106" t="s">
        <v>53</v>
      </c>
      <c r="D117" s="107" t="s">
        <v>71</v>
      </c>
      <c r="E117" s="103"/>
      <c r="F117" s="104"/>
      <c r="G117" s="105" t="s">
        <v>52</v>
      </c>
      <c r="H117" s="106" t="s">
        <v>53</v>
      </c>
      <c r="I117" s="107" t="s">
        <v>71</v>
      </c>
      <c r="J117" s="103"/>
      <c r="K117" s="104"/>
      <c r="L117" s="105" t="s">
        <v>52</v>
      </c>
      <c r="M117" s="106" t="s">
        <v>53</v>
      </c>
      <c r="N117" s="107" t="s">
        <v>71</v>
      </c>
      <c r="O117" s="103"/>
      <c r="P117" s="104"/>
      <c r="Q117" s="105" t="s">
        <v>52</v>
      </c>
      <c r="R117" s="106" t="s">
        <v>53</v>
      </c>
      <c r="S117" s="107" t="s">
        <v>71</v>
      </c>
    </row>
    <row r="118" spans="1:19" x14ac:dyDescent="0.2">
      <c r="A118" s="108"/>
      <c r="B118" s="109" t="s">
        <v>54</v>
      </c>
      <c r="C118" s="109" t="s">
        <v>55</v>
      </c>
      <c r="D118" s="110" t="s">
        <v>1</v>
      </c>
      <c r="E118" s="103"/>
      <c r="F118" s="108"/>
      <c r="G118" s="109" t="s">
        <v>54</v>
      </c>
      <c r="H118" s="109" t="s">
        <v>55</v>
      </c>
      <c r="I118" s="110" t="s">
        <v>1</v>
      </c>
      <c r="J118" s="103"/>
      <c r="K118" s="108"/>
      <c r="L118" s="109" t="s">
        <v>54</v>
      </c>
      <c r="M118" s="109" t="s">
        <v>55</v>
      </c>
      <c r="N118" s="110" t="s">
        <v>1</v>
      </c>
      <c r="O118" s="103"/>
      <c r="P118" s="108"/>
      <c r="Q118" s="109" t="s">
        <v>54</v>
      </c>
      <c r="R118" s="109" t="s">
        <v>55</v>
      </c>
      <c r="S118" s="110" t="s">
        <v>1</v>
      </c>
    </row>
    <row r="119" spans="1:19" x14ac:dyDescent="0.2">
      <c r="A119" s="108" t="s">
        <v>214</v>
      </c>
      <c r="B119" s="109"/>
      <c r="C119" s="109"/>
      <c r="D119" s="110">
        <v>0.13</v>
      </c>
      <c r="E119" s="103"/>
      <c r="F119" s="108" t="s">
        <v>214</v>
      </c>
      <c r="G119" s="109"/>
      <c r="H119" s="109"/>
      <c r="I119" s="110">
        <v>0.13</v>
      </c>
      <c r="J119" s="103"/>
      <c r="K119" s="108" t="s">
        <v>214</v>
      </c>
      <c r="L119" s="109"/>
      <c r="M119" s="109"/>
      <c r="N119" s="110">
        <v>0.13</v>
      </c>
      <c r="O119" s="103"/>
      <c r="P119" s="108" t="s">
        <v>214</v>
      </c>
      <c r="Q119" s="109"/>
      <c r="R119" s="109"/>
      <c r="S119" s="110">
        <v>0.13</v>
      </c>
    </row>
    <row r="120" spans="1:19" x14ac:dyDescent="0.2">
      <c r="A120" s="108" t="s">
        <v>215</v>
      </c>
      <c r="B120" s="109">
        <v>180</v>
      </c>
      <c r="C120" s="109">
        <v>0.13</v>
      </c>
      <c r="D120" s="110">
        <f>(B120/1000)/C120</f>
        <v>1.3846153846153846</v>
      </c>
      <c r="E120" s="103"/>
      <c r="F120" s="108" t="s">
        <v>215</v>
      </c>
      <c r="G120" s="109">
        <v>180</v>
      </c>
      <c r="H120" s="109">
        <v>0.13</v>
      </c>
      <c r="I120" s="110">
        <f>(G120/1000)/H120</f>
        <v>1.3846153846153846</v>
      </c>
      <c r="J120" s="103"/>
      <c r="K120" s="108" t="s">
        <v>215</v>
      </c>
      <c r="L120" s="109">
        <v>180</v>
      </c>
      <c r="M120" s="109">
        <v>0.13</v>
      </c>
      <c r="N120" s="110">
        <f>(L120/1000)/M120</f>
        <v>1.3846153846153846</v>
      </c>
      <c r="O120" s="103"/>
      <c r="P120" s="108" t="s">
        <v>215</v>
      </c>
      <c r="Q120" s="109">
        <v>180</v>
      </c>
      <c r="R120" s="109">
        <v>0.13</v>
      </c>
      <c r="S120" s="110">
        <f>(Q120/1000)/R120</f>
        <v>1.3846153846153846</v>
      </c>
    </row>
    <row r="121" spans="1:19" x14ac:dyDescent="0.2">
      <c r="A121" s="108" t="s">
        <v>216</v>
      </c>
      <c r="B121" s="109">
        <v>60</v>
      </c>
      <c r="C121" s="109">
        <v>3.1E-2</v>
      </c>
      <c r="D121" s="110">
        <f>(B121/1000)/C121</f>
        <v>1.9354838709677418</v>
      </c>
      <c r="E121" s="103"/>
      <c r="F121" s="108" t="s">
        <v>216</v>
      </c>
      <c r="G121" s="109">
        <v>79</v>
      </c>
      <c r="H121" s="109">
        <v>3.1E-2</v>
      </c>
      <c r="I121" s="110">
        <f>(G121/1000)/H121</f>
        <v>2.5483870967741935</v>
      </c>
      <c r="J121" s="103"/>
      <c r="K121" s="108" t="s">
        <v>216</v>
      </c>
      <c r="L121" s="109">
        <v>93</v>
      </c>
      <c r="M121" s="109">
        <v>3.1E-2</v>
      </c>
      <c r="N121" s="110">
        <f>(L121/1000)/M121</f>
        <v>3</v>
      </c>
      <c r="O121" s="103"/>
      <c r="P121" s="108" t="s">
        <v>216</v>
      </c>
      <c r="Q121" s="109">
        <v>109</v>
      </c>
      <c r="R121" s="109">
        <v>3.1E-2</v>
      </c>
      <c r="S121" s="110">
        <f>(Q121/1000)/R121</f>
        <v>3.5161290322580645</v>
      </c>
    </row>
    <row r="122" spans="1:19" x14ac:dyDescent="0.2">
      <c r="A122" s="108" t="s">
        <v>217</v>
      </c>
      <c r="B122" s="109"/>
      <c r="C122" s="109"/>
      <c r="D122" s="110">
        <v>0</v>
      </c>
      <c r="E122" s="103"/>
      <c r="F122" s="108" t="s">
        <v>217</v>
      </c>
      <c r="G122" s="109"/>
      <c r="H122" s="109"/>
      <c r="I122" s="110">
        <v>0</v>
      </c>
      <c r="J122" s="103"/>
      <c r="K122" s="108" t="s">
        <v>217</v>
      </c>
      <c r="L122" s="109"/>
      <c r="M122" s="109"/>
      <c r="N122" s="110">
        <v>0</v>
      </c>
      <c r="O122" s="103"/>
      <c r="P122" s="108" t="s">
        <v>217</v>
      </c>
      <c r="Q122" s="109"/>
      <c r="R122" s="109"/>
      <c r="S122" s="110">
        <v>0</v>
      </c>
    </row>
    <row r="123" spans="1:19" x14ac:dyDescent="0.2">
      <c r="A123" s="108" t="s">
        <v>222</v>
      </c>
      <c r="B123" s="109"/>
      <c r="C123" s="109"/>
      <c r="D123" s="110">
        <v>0.09</v>
      </c>
      <c r="E123" s="103"/>
      <c r="F123" s="108" t="s">
        <v>222</v>
      </c>
      <c r="G123" s="109"/>
      <c r="H123" s="109"/>
      <c r="I123" s="110">
        <v>0.09</v>
      </c>
      <c r="J123" s="103"/>
      <c r="K123" s="108" t="s">
        <v>222</v>
      </c>
      <c r="L123" s="109"/>
      <c r="M123" s="109"/>
      <c r="N123" s="110">
        <v>0.09</v>
      </c>
      <c r="O123" s="103"/>
      <c r="P123" s="108" t="s">
        <v>222</v>
      </c>
      <c r="Q123" s="109"/>
      <c r="R123" s="109"/>
      <c r="S123" s="110">
        <v>0.09</v>
      </c>
    </row>
    <row r="124" spans="1:19" x14ac:dyDescent="0.2">
      <c r="A124" s="108" t="s">
        <v>218</v>
      </c>
      <c r="B124" s="109">
        <v>90</v>
      </c>
      <c r="C124" s="109">
        <v>1.31</v>
      </c>
      <c r="D124" s="110">
        <f>(B124/1000)/C124</f>
        <v>6.8702290076335867E-2</v>
      </c>
      <c r="E124" s="103"/>
      <c r="F124" s="108" t="s">
        <v>218</v>
      </c>
      <c r="G124" s="109">
        <v>90</v>
      </c>
      <c r="H124" s="109">
        <v>1.31</v>
      </c>
      <c r="I124" s="110">
        <f>(G124/1000)/H124</f>
        <v>6.8702290076335867E-2</v>
      </c>
      <c r="J124" s="103"/>
      <c r="K124" s="108" t="s">
        <v>218</v>
      </c>
      <c r="L124" s="109">
        <v>90</v>
      </c>
      <c r="M124" s="109">
        <v>1.31</v>
      </c>
      <c r="N124" s="110">
        <f>(L124/1000)/M124</f>
        <v>6.8702290076335867E-2</v>
      </c>
      <c r="O124" s="103"/>
      <c r="P124" s="108" t="s">
        <v>218</v>
      </c>
      <c r="Q124" s="109">
        <v>90</v>
      </c>
      <c r="R124" s="109">
        <v>1.31</v>
      </c>
      <c r="S124" s="110">
        <f>(Q124/1000)/R124</f>
        <v>6.8702290076335867E-2</v>
      </c>
    </row>
    <row r="125" spans="1:19" x14ac:dyDescent="0.2">
      <c r="A125" s="108" t="s">
        <v>219</v>
      </c>
      <c r="B125" s="109"/>
      <c r="C125" s="109"/>
      <c r="D125" s="110">
        <v>0.04</v>
      </c>
      <c r="E125" s="103"/>
      <c r="F125" s="108" t="s">
        <v>219</v>
      </c>
      <c r="G125" s="109"/>
      <c r="H125" s="109"/>
      <c r="I125" s="110">
        <v>0.04</v>
      </c>
      <c r="J125" s="103"/>
      <c r="K125" s="108" t="s">
        <v>219</v>
      </c>
      <c r="L125" s="109"/>
      <c r="M125" s="109"/>
      <c r="N125" s="110">
        <v>0.04</v>
      </c>
      <c r="O125" s="103"/>
      <c r="P125" s="108" t="s">
        <v>219</v>
      </c>
      <c r="Q125" s="109"/>
      <c r="R125" s="109"/>
      <c r="S125" s="110">
        <v>0.04</v>
      </c>
    </row>
    <row r="126" spans="1:19" x14ac:dyDescent="0.2">
      <c r="A126" s="108"/>
      <c r="B126" s="109"/>
      <c r="C126" s="109"/>
      <c r="D126" s="110"/>
      <c r="E126" s="103"/>
      <c r="F126" s="108"/>
      <c r="G126" s="109"/>
      <c r="H126" s="109"/>
      <c r="I126" s="110"/>
      <c r="J126" s="103"/>
      <c r="K126" s="108"/>
      <c r="L126" s="109"/>
      <c r="M126" s="109"/>
      <c r="N126" s="110"/>
      <c r="O126" s="103"/>
      <c r="P126" s="108"/>
      <c r="Q126" s="109"/>
      <c r="R126" s="109"/>
      <c r="S126" s="110"/>
    </row>
    <row r="127" spans="1:19" x14ac:dyDescent="0.2">
      <c r="A127" s="108" t="s">
        <v>220</v>
      </c>
      <c r="B127" s="109"/>
      <c r="C127" s="109"/>
      <c r="D127" s="110">
        <v>-0.1</v>
      </c>
      <c r="E127" s="103"/>
      <c r="F127" s="108" t="s">
        <v>220</v>
      </c>
      <c r="G127" s="109"/>
      <c r="H127" s="109"/>
      <c r="I127" s="110">
        <v>-0.1</v>
      </c>
      <c r="J127" s="103"/>
      <c r="K127" s="108" t="s">
        <v>220</v>
      </c>
      <c r="L127" s="109"/>
      <c r="M127" s="109"/>
      <c r="N127" s="110">
        <v>-0.1</v>
      </c>
      <c r="O127" s="103"/>
      <c r="P127" s="108" t="s">
        <v>220</v>
      </c>
      <c r="Q127" s="109"/>
      <c r="R127" s="109"/>
      <c r="S127" s="110">
        <v>-0.1</v>
      </c>
    </row>
    <row r="128" spans="1:19" x14ac:dyDescent="0.2">
      <c r="A128" s="108"/>
      <c r="B128" s="109"/>
      <c r="C128" s="109"/>
      <c r="D128" s="110"/>
      <c r="E128" s="103"/>
      <c r="F128" s="108"/>
      <c r="G128" s="109"/>
      <c r="H128" s="109"/>
      <c r="I128" s="110"/>
      <c r="J128" s="103"/>
      <c r="K128" s="108"/>
      <c r="L128" s="109"/>
      <c r="M128" s="109"/>
      <c r="N128" s="110"/>
      <c r="O128" s="103"/>
      <c r="P128" s="108"/>
      <c r="Q128" s="109"/>
      <c r="R128" s="109"/>
      <c r="S128" s="110"/>
    </row>
    <row r="129" spans="1:19" ht="18.75" x14ac:dyDescent="0.35">
      <c r="A129" s="111" t="s">
        <v>221</v>
      </c>
      <c r="B129" s="112"/>
      <c r="C129" s="112"/>
      <c r="D129" s="165">
        <f>FLOOR(SUM(D119:D127),0.05)</f>
        <v>3.5</v>
      </c>
      <c r="E129" s="103"/>
      <c r="F129" s="111" t="s">
        <v>221</v>
      </c>
      <c r="G129" s="112"/>
      <c r="H129" s="112"/>
      <c r="I129" s="113">
        <f>FLOOR(SUM(I119:I127),0.05)</f>
        <v>4.1500000000000004</v>
      </c>
      <c r="J129" s="103"/>
      <c r="K129" s="111" t="s">
        <v>221</v>
      </c>
      <c r="L129" s="112"/>
      <c r="M129" s="112"/>
      <c r="N129" s="165">
        <f>FLOOR(SUM(N119:N127),0.05)</f>
        <v>4.6000000000000005</v>
      </c>
      <c r="O129" s="103"/>
      <c r="P129" s="111" t="s">
        <v>221</v>
      </c>
      <c r="Q129" s="112"/>
      <c r="R129" s="112"/>
      <c r="S129" s="165">
        <f>FLOOR(SUM(S119:S127),0.05)</f>
        <v>5.1000000000000005</v>
      </c>
    </row>
    <row r="131" spans="1:19" x14ac:dyDescent="0.2">
      <c r="A131" s="25"/>
      <c r="B131" s="85"/>
      <c r="C131" s="89"/>
      <c r="D131" s="85"/>
      <c r="E131" s="25"/>
    </row>
    <row r="132" spans="1:19" x14ac:dyDescent="0.2">
      <c r="A132" s="25"/>
      <c r="B132" s="85"/>
      <c r="C132" s="85"/>
      <c r="D132" s="85"/>
      <c r="E132" s="25"/>
    </row>
    <row r="133" spans="1:19" x14ac:dyDescent="0.2">
      <c r="A133" s="25"/>
      <c r="B133" s="85"/>
      <c r="C133" s="85"/>
      <c r="D133" s="85"/>
      <c r="E133" s="25"/>
    </row>
    <row r="134" spans="1:19" x14ac:dyDescent="0.2">
      <c r="A134" s="25"/>
      <c r="B134" s="85"/>
      <c r="C134" s="85"/>
      <c r="D134" s="85"/>
      <c r="E134" s="25"/>
    </row>
    <row r="135" spans="1:19" x14ac:dyDescent="0.2">
      <c r="A135" s="25"/>
      <c r="B135" s="85"/>
      <c r="C135" s="85"/>
      <c r="D135" s="85"/>
      <c r="E135" s="25"/>
    </row>
    <row r="136" spans="1:19" x14ac:dyDescent="0.2">
      <c r="A136" s="25"/>
      <c r="B136" s="85"/>
      <c r="C136" s="85"/>
      <c r="D136" s="85"/>
      <c r="E136" s="25"/>
    </row>
    <row r="137" spans="1:19" x14ac:dyDescent="0.2">
      <c r="A137" s="25"/>
      <c r="B137" s="85"/>
      <c r="C137" s="85"/>
      <c r="D137" s="85"/>
      <c r="E137" s="25"/>
    </row>
    <row r="138" spans="1:19" x14ac:dyDescent="0.2">
      <c r="A138" s="25"/>
      <c r="B138" s="85"/>
      <c r="C138" s="85"/>
      <c r="D138" s="85"/>
      <c r="E138" s="25"/>
    </row>
    <row r="139" spans="1:19" x14ac:dyDescent="0.2">
      <c r="A139" s="25"/>
      <c r="B139" s="85"/>
      <c r="C139" s="85"/>
      <c r="D139" s="85"/>
      <c r="E139" s="25"/>
    </row>
    <row r="140" spans="1:19" x14ac:dyDescent="0.2">
      <c r="A140" s="25"/>
      <c r="B140" s="85"/>
      <c r="C140" s="85"/>
      <c r="D140" s="85"/>
      <c r="E140" s="25"/>
    </row>
    <row r="141" spans="1:19" x14ac:dyDescent="0.2">
      <c r="A141" s="25"/>
      <c r="B141" s="85"/>
      <c r="C141" s="85"/>
      <c r="D141" s="85"/>
      <c r="E141" s="25"/>
    </row>
    <row r="142" spans="1:19" x14ac:dyDescent="0.2">
      <c r="A142" s="25"/>
      <c r="B142" s="85"/>
      <c r="C142" s="85"/>
      <c r="D142" s="85"/>
      <c r="E142" s="25"/>
    </row>
    <row r="143" spans="1:19" ht="15.75" x14ac:dyDescent="0.25">
      <c r="A143" s="90"/>
      <c r="B143" s="91"/>
      <c r="C143" s="91"/>
      <c r="D143" s="91"/>
      <c r="E143" s="25"/>
    </row>
    <row r="144" spans="1:19" x14ac:dyDescent="0.2">
      <c r="A144" s="25"/>
      <c r="B144" s="25"/>
      <c r="C144" s="25"/>
      <c r="D144" s="25"/>
      <c r="E144" s="25"/>
    </row>
    <row r="145" spans="1:5" x14ac:dyDescent="0.2">
      <c r="A145" s="25"/>
      <c r="B145" s="85"/>
      <c r="C145" s="89"/>
      <c r="D145" s="85"/>
      <c r="E145" s="25"/>
    </row>
    <row r="146" spans="1:5" x14ac:dyDescent="0.2">
      <c r="A146" s="25"/>
      <c r="B146" s="85"/>
      <c r="C146" s="85"/>
      <c r="D146" s="85"/>
      <c r="E146" s="25"/>
    </row>
    <row r="147" spans="1:5" x14ac:dyDescent="0.2">
      <c r="A147" s="25"/>
      <c r="B147" s="85"/>
      <c r="C147" s="85"/>
      <c r="D147" s="85"/>
      <c r="E147" s="25"/>
    </row>
    <row r="148" spans="1:5" x14ac:dyDescent="0.2">
      <c r="A148" s="25"/>
      <c r="B148" s="85"/>
      <c r="C148" s="85"/>
      <c r="D148" s="85"/>
      <c r="E148" s="25"/>
    </row>
    <row r="149" spans="1:5" x14ac:dyDescent="0.2">
      <c r="A149" s="25"/>
      <c r="B149" s="85"/>
      <c r="C149" s="85"/>
      <c r="D149" s="85"/>
      <c r="E149" s="25"/>
    </row>
    <row r="150" spans="1:5" x14ac:dyDescent="0.2">
      <c r="A150" s="25"/>
      <c r="B150" s="85"/>
      <c r="C150" s="85"/>
      <c r="D150" s="85"/>
      <c r="E150" s="25"/>
    </row>
    <row r="151" spans="1:5" x14ac:dyDescent="0.2">
      <c r="A151" s="25"/>
      <c r="B151" s="85"/>
      <c r="C151" s="85"/>
      <c r="D151" s="85"/>
      <c r="E151" s="25"/>
    </row>
    <row r="152" spans="1:5" x14ac:dyDescent="0.2">
      <c r="A152" s="25"/>
      <c r="B152" s="85"/>
      <c r="C152" s="85"/>
      <c r="D152" s="85"/>
      <c r="E152" s="25"/>
    </row>
    <row r="153" spans="1:5" x14ac:dyDescent="0.2">
      <c r="A153" s="25"/>
      <c r="B153" s="85"/>
      <c r="C153" s="85"/>
      <c r="D153" s="85"/>
      <c r="E153" s="25"/>
    </row>
    <row r="154" spans="1:5" x14ac:dyDescent="0.2">
      <c r="A154" s="25"/>
      <c r="B154" s="85"/>
      <c r="C154" s="85"/>
      <c r="D154" s="85"/>
      <c r="E154" s="25"/>
    </row>
    <row r="155" spans="1:5" x14ac:dyDescent="0.2">
      <c r="A155" s="25"/>
      <c r="B155" s="85"/>
      <c r="C155" s="85"/>
      <c r="D155" s="85"/>
      <c r="E155" s="25"/>
    </row>
    <row r="156" spans="1:5" x14ac:dyDescent="0.2">
      <c r="A156" s="25"/>
      <c r="B156" s="85"/>
      <c r="C156" s="85"/>
      <c r="D156" s="85"/>
      <c r="E156" s="25"/>
    </row>
    <row r="157" spans="1:5" ht="15.75" x14ac:dyDescent="0.25">
      <c r="A157" s="90"/>
      <c r="B157" s="91"/>
      <c r="C157" s="91"/>
      <c r="D157" s="91"/>
      <c r="E157" s="25"/>
    </row>
    <row r="158" spans="1:5" x14ac:dyDescent="0.2">
      <c r="A158" s="25"/>
      <c r="B158" s="25"/>
      <c r="C158" s="25"/>
      <c r="D158" s="25"/>
      <c r="E158" s="25"/>
    </row>
    <row r="159" spans="1:5" x14ac:dyDescent="0.2">
      <c r="A159" s="25"/>
      <c r="B159" s="85"/>
      <c r="C159" s="89"/>
      <c r="D159" s="85"/>
      <c r="E159" s="25"/>
    </row>
    <row r="160" spans="1:5" x14ac:dyDescent="0.2">
      <c r="A160" s="25"/>
      <c r="B160" s="85"/>
      <c r="C160" s="85"/>
      <c r="D160" s="85"/>
      <c r="E160" s="25"/>
    </row>
    <row r="161" spans="1:5" x14ac:dyDescent="0.2">
      <c r="A161" s="25"/>
      <c r="B161" s="85"/>
      <c r="C161" s="85"/>
      <c r="D161" s="85"/>
      <c r="E161" s="25"/>
    </row>
    <row r="162" spans="1:5" x14ac:dyDescent="0.2">
      <c r="A162" s="25"/>
      <c r="B162" s="85"/>
      <c r="C162" s="85"/>
      <c r="D162" s="85"/>
      <c r="E162" s="25"/>
    </row>
    <row r="163" spans="1:5" x14ac:dyDescent="0.2">
      <c r="A163" s="25"/>
      <c r="B163" s="85"/>
      <c r="C163" s="85"/>
      <c r="D163" s="85"/>
      <c r="E163" s="25"/>
    </row>
    <row r="164" spans="1:5" x14ac:dyDescent="0.2">
      <c r="A164" s="25"/>
      <c r="B164" s="85"/>
      <c r="C164" s="85"/>
      <c r="D164" s="85"/>
      <c r="E164" s="25"/>
    </row>
    <row r="165" spans="1:5" x14ac:dyDescent="0.2">
      <c r="A165" s="25"/>
      <c r="B165" s="85"/>
      <c r="C165" s="85"/>
      <c r="D165" s="85"/>
      <c r="E165" s="25"/>
    </row>
    <row r="166" spans="1:5" x14ac:dyDescent="0.2">
      <c r="A166" s="25"/>
      <c r="B166" s="85"/>
      <c r="C166" s="85"/>
      <c r="D166" s="85"/>
      <c r="E166" s="25"/>
    </row>
    <row r="167" spans="1:5" x14ac:dyDescent="0.2">
      <c r="A167" s="25"/>
      <c r="B167" s="85"/>
      <c r="C167" s="85"/>
      <c r="D167" s="85"/>
      <c r="E167" s="25"/>
    </row>
    <row r="168" spans="1:5" x14ac:dyDescent="0.2">
      <c r="A168" s="25"/>
      <c r="B168" s="85"/>
      <c r="C168" s="85"/>
      <c r="D168" s="85"/>
      <c r="E168" s="25"/>
    </row>
    <row r="169" spans="1:5" x14ac:dyDescent="0.2">
      <c r="A169" s="25"/>
      <c r="B169" s="85"/>
      <c r="C169" s="85"/>
      <c r="D169" s="85"/>
      <c r="E169" s="25"/>
    </row>
    <row r="170" spans="1:5" x14ac:dyDescent="0.2">
      <c r="A170" s="25"/>
      <c r="B170" s="85"/>
      <c r="C170" s="85"/>
      <c r="D170" s="85"/>
      <c r="E170" s="25"/>
    </row>
    <row r="171" spans="1:5" ht="15.75" x14ac:dyDescent="0.25">
      <c r="A171" s="90"/>
      <c r="B171" s="91"/>
      <c r="C171" s="91"/>
      <c r="D171" s="91"/>
      <c r="E171" s="25"/>
    </row>
    <row r="172" spans="1:5" x14ac:dyDescent="0.2">
      <c r="A172" s="25"/>
      <c r="B172" s="25"/>
      <c r="C172" s="25"/>
      <c r="D172" s="25"/>
      <c r="E172" s="25"/>
    </row>
    <row r="173" spans="1:5" x14ac:dyDescent="0.2">
      <c r="A173" s="25"/>
      <c r="B173" s="85"/>
      <c r="C173" s="89"/>
      <c r="D173" s="85"/>
      <c r="E173" s="25"/>
    </row>
    <row r="174" spans="1:5" x14ac:dyDescent="0.2">
      <c r="A174" s="25"/>
      <c r="B174" s="85"/>
      <c r="C174" s="85"/>
      <c r="D174" s="85"/>
      <c r="E174" s="25"/>
    </row>
    <row r="175" spans="1:5" x14ac:dyDescent="0.2">
      <c r="A175" s="25"/>
      <c r="B175" s="85"/>
      <c r="C175" s="85"/>
      <c r="D175" s="85"/>
      <c r="E175" s="25"/>
    </row>
    <row r="176" spans="1:5" x14ac:dyDescent="0.2">
      <c r="A176" s="25"/>
      <c r="B176" s="85"/>
      <c r="C176" s="85"/>
      <c r="D176" s="85"/>
      <c r="E176" s="25"/>
    </row>
    <row r="177" spans="1:5" x14ac:dyDescent="0.2">
      <c r="A177" s="25"/>
      <c r="B177" s="85"/>
      <c r="C177" s="85"/>
      <c r="D177" s="85"/>
      <c r="E177" s="25"/>
    </row>
    <row r="178" spans="1:5" x14ac:dyDescent="0.2">
      <c r="A178" s="25"/>
      <c r="B178" s="85"/>
      <c r="C178" s="85"/>
      <c r="D178" s="85"/>
      <c r="E178" s="25"/>
    </row>
    <row r="179" spans="1:5" x14ac:dyDescent="0.2">
      <c r="A179" s="25"/>
      <c r="B179" s="85"/>
      <c r="C179" s="85"/>
      <c r="D179" s="85"/>
      <c r="E179" s="25"/>
    </row>
    <row r="180" spans="1:5" x14ac:dyDescent="0.2">
      <c r="A180" s="25"/>
      <c r="B180" s="85"/>
      <c r="C180" s="85"/>
      <c r="D180" s="85"/>
      <c r="E180" s="25"/>
    </row>
    <row r="181" spans="1:5" x14ac:dyDescent="0.2">
      <c r="A181" s="25"/>
      <c r="B181" s="85"/>
      <c r="C181" s="85"/>
      <c r="D181" s="85"/>
      <c r="E181" s="25"/>
    </row>
    <row r="182" spans="1:5" x14ac:dyDescent="0.2">
      <c r="A182" s="25"/>
      <c r="B182" s="85"/>
      <c r="C182" s="85"/>
      <c r="D182" s="85"/>
      <c r="E182" s="25"/>
    </row>
    <row r="183" spans="1:5" x14ac:dyDescent="0.2">
      <c r="A183" s="25"/>
      <c r="B183" s="85"/>
      <c r="C183" s="85"/>
      <c r="D183" s="85"/>
      <c r="E183" s="25"/>
    </row>
    <row r="184" spans="1:5" x14ac:dyDescent="0.2">
      <c r="A184" s="25"/>
      <c r="B184" s="85"/>
      <c r="C184" s="85"/>
      <c r="D184" s="85"/>
      <c r="E184" s="25"/>
    </row>
    <row r="185" spans="1:5" ht="15.75" x14ac:dyDescent="0.25">
      <c r="A185" s="90"/>
      <c r="B185" s="91"/>
      <c r="C185" s="91"/>
      <c r="D185" s="91"/>
      <c r="E185" s="25"/>
    </row>
    <row r="186" spans="1:5" x14ac:dyDescent="0.2">
      <c r="A186" s="25"/>
      <c r="B186" s="25"/>
      <c r="C186" s="25"/>
      <c r="D186" s="25"/>
      <c r="E186" s="25"/>
    </row>
    <row r="187" spans="1:5" x14ac:dyDescent="0.2">
      <c r="A187" s="25"/>
      <c r="B187" s="85"/>
      <c r="C187" s="89"/>
      <c r="D187" s="85"/>
      <c r="E187" s="25"/>
    </row>
    <row r="188" spans="1:5" x14ac:dyDescent="0.2">
      <c r="A188" s="25"/>
      <c r="B188" s="85"/>
      <c r="C188" s="85"/>
      <c r="D188" s="85"/>
      <c r="E188" s="25"/>
    </row>
    <row r="189" spans="1:5" x14ac:dyDescent="0.2">
      <c r="A189" s="25"/>
      <c r="B189" s="85"/>
      <c r="C189" s="85"/>
      <c r="D189" s="85"/>
      <c r="E189" s="25"/>
    </row>
    <row r="190" spans="1:5" x14ac:dyDescent="0.2">
      <c r="A190" s="25"/>
      <c r="B190" s="85"/>
      <c r="C190" s="85"/>
      <c r="D190" s="85"/>
      <c r="E190" s="25"/>
    </row>
    <row r="191" spans="1:5" x14ac:dyDescent="0.2">
      <c r="A191" s="25"/>
      <c r="B191" s="85"/>
      <c r="C191" s="85"/>
      <c r="D191" s="85"/>
      <c r="E191" s="25"/>
    </row>
    <row r="192" spans="1:5" x14ac:dyDescent="0.2">
      <c r="A192" s="25"/>
      <c r="B192" s="85"/>
      <c r="C192" s="85"/>
      <c r="D192" s="85"/>
      <c r="E192" s="25"/>
    </row>
    <row r="193" spans="1:5" x14ac:dyDescent="0.2">
      <c r="A193" s="25"/>
      <c r="B193" s="85"/>
      <c r="C193" s="85"/>
      <c r="D193" s="85"/>
      <c r="E193" s="25"/>
    </row>
    <row r="194" spans="1:5" x14ac:dyDescent="0.2">
      <c r="A194" s="25"/>
      <c r="B194" s="85"/>
      <c r="C194" s="85"/>
      <c r="D194" s="85"/>
      <c r="E194" s="25"/>
    </row>
    <row r="195" spans="1:5" x14ac:dyDescent="0.2">
      <c r="A195" s="25"/>
      <c r="B195" s="85"/>
      <c r="C195" s="85"/>
      <c r="D195" s="85"/>
      <c r="E195" s="25"/>
    </row>
    <row r="196" spans="1:5" x14ac:dyDescent="0.2">
      <c r="A196" s="25"/>
      <c r="B196" s="85"/>
      <c r="C196" s="85"/>
      <c r="D196" s="85"/>
      <c r="E196" s="25"/>
    </row>
    <row r="197" spans="1:5" x14ac:dyDescent="0.2">
      <c r="A197" s="25"/>
      <c r="B197" s="85"/>
      <c r="C197" s="85"/>
      <c r="D197" s="85"/>
      <c r="E197" s="25"/>
    </row>
    <row r="198" spans="1:5" x14ac:dyDescent="0.2">
      <c r="A198" s="25"/>
      <c r="B198" s="85"/>
      <c r="C198" s="85"/>
      <c r="D198" s="85"/>
      <c r="E198" s="25"/>
    </row>
    <row r="199" spans="1:5" ht="15.75" x14ac:dyDescent="0.25">
      <c r="A199" s="90"/>
      <c r="B199" s="91"/>
      <c r="C199" s="91"/>
      <c r="D199" s="91"/>
      <c r="E199" s="25"/>
    </row>
    <row r="200" spans="1:5" x14ac:dyDescent="0.2">
      <c r="A200" s="25"/>
      <c r="B200" s="25"/>
      <c r="C200" s="25"/>
      <c r="D200" s="25"/>
      <c r="E200" s="25"/>
    </row>
    <row r="201" spans="1:5" x14ac:dyDescent="0.2">
      <c r="A201" s="25"/>
      <c r="B201" s="85"/>
      <c r="C201" s="89"/>
      <c r="D201" s="85"/>
      <c r="E201" s="25"/>
    </row>
    <row r="202" spans="1:5" x14ac:dyDescent="0.2">
      <c r="A202" s="25"/>
      <c r="B202" s="85"/>
      <c r="C202" s="85"/>
      <c r="D202" s="85"/>
      <c r="E202" s="25"/>
    </row>
    <row r="203" spans="1:5" x14ac:dyDescent="0.2">
      <c r="A203" s="25"/>
      <c r="B203" s="85"/>
      <c r="C203" s="85"/>
      <c r="D203" s="85"/>
      <c r="E203" s="25"/>
    </row>
    <row r="204" spans="1:5" x14ac:dyDescent="0.2">
      <c r="A204" s="25"/>
      <c r="B204" s="85"/>
      <c r="C204" s="85"/>
      <c r="D204" s="85"/>
      <c r="E204" s="25"/>
    </row>
    <row r="205" spans="1:5" x14ac:dyDescent="0.2">
      <c r="A205" s="25"/>
      <c r="B205" s="85"/>
      <c r="C205" s="85"/>
      <c r="D205" s="85"/>
      <c r="E205" s="25"/>
    </row>
    <row r="206" spans="1:5" x14ac:dyDescent="0.2">
      <c r="A206" s="25"/>
      <c r="B206" s="85"/>
      <c r="C206" s="85"/>
      <c r="D206" s="85"/>
      <c r="E206" s="25"/>
    </row>
    <row r="207" spans="1:5" x14ac:dyDescent="0.2">
      <c r="A207" s="25"/>
      <c r="B207" s="85"/>
      <c r="C207" s="85"/>
      <c r="D207" s="85"/>
      <c r="E207" s="25"/>
    </row>
    <row r="208" spans="1:5" x14ac:dyDescent="0.2">
      <c r="A208" s="25"/>
      <c r="B208" s="85"/>
      <c r="C208" s="85"/>
      <c r="D208" s="85"/>
      <c r="E208" s="25"/>
    </row>
    <row r="209" spans="1:5" x14ac:dyDescent="0.2">
      <c r="A209" s="25"/>
      <c r="B209" s="85"/>
      <c r="C209" s="85"/>
      <c r="D209" s="85"/>
      <c r="E209" s="25"/>
    </row>
    <row r="210" spans="1:5" x14ac:dyDescent="0.2">
      <c r="A210" s="25"/>
      <c r="B210" s="85"/>
      <c r="C210" s="85"/>
      <c r="D210" s="85"/>
      <c r="E210" s="25"/>
    </row>
    <row r="211" spans="1:5" x14ac:dyDescent="0.2">
      <c r="A211" s="25"/>
      <c r="B211" s="85"/>
      <c r="C211" s="85"/>
      <c r="D211" s="85"/>
      <c r="E211" s="25"/>
    </row>
    <row r="212" spans="1:5" x14ac:dyDescent="0.2">
      <c r="A212" s="25"/>
      <c r="B212" s="85"/>
      <c r="C212" s="85"/>
      <c r="D212" s="85"/>
      <c r="E212" s="25"/>
    </row>
    <row r="213" spans="1:5" ht="15.75" x14ac:dyDescent="0.25">
      <c r="A213" s="90"/>
      <c r="B213" s="91"/>
      <c r="C213" s="91"/>
      <c r="D213" s="91"/>
      <c r="E213" s="25"/>
    </row>
    <row r="214" spans="1:5" x14ac:dyDescent="0.2">
      <c r="A214" s="25"/>
      <c r="B214" s="25"/>
      <c r="C214" s="25"/>
      <c r="D214" s="25"/>
      <c r="E214" s="25"/>
    </row>
    <row r="215" spans="1:5" x14ac:dyDescent="0.2">
      <c r="A215" s="25"/>
      <c r="B215" s="85"/>
      <c r="C215" s="89"/>
      <c r="D215" s="85"/>
      <c r="E215" s="25"/>
    </row>
    <row r="216" spans="1:5" x14ac:dyDescent="0.2">
      <c r="A216" s="25"/>
      <c r="B216" s="85"/>
      <c r="C216" s="85"/>
      <c r="D216" s="85"/>
      <c r="E216" s="25"/>
    </row>
    <row r="217" spans="1:5" x14ac:dyDescent="0.2">
      <c r="A217" s="25"/>
      <c r="B217" s="85"/>
      <c r="C217" s="85"/>
      <c r="D217" s="85"/>
      <c r="E217" s="25"/>
    </row>
    <row r="218" spans="1:5" x14ac:dyDescent="0.2">
      <c r="A218" s="25"/>
      <c r="B218" s="85"/>
      <c r="C218" s="85"/>
      <c r="D218" s="85"/>
      <c r="E218" s="25"/>
    </row>
    <row r="219" spans="1:5" x14ac:dyDescent="0.2">
      <c r="A219" s="25"/>
      <c r="B219" s="85"/>
      <c r="C219" s="85"/>
      <c r="D219" s="85"/>
      <c r="E219" s="25"/>
    </row>
    <row r="220" spans="1:5" x14ac:dyDescent="0.2">
      <c r="A220" s="25"/>
      <c r="B220" s="85"/>
      <c r="C220" s="85"/>
      <c r="D220" s="85"/>
      <c r="E220" s="25"/>
    </row>
    <row r="221" spans="1:5" x14ac:dyDescent="0.2">
      <c r="A221" s="25"/>
      <c r="B221" s="85"/>
      <c r="C221" s="85"/>
      <c r="D221" s="85"/>
      <c r="E221" s="25"/>
    </row>
    <row r="222" spans="1:5" x14ac:dyDescent="0.2">
      <c r="A222" s="25"/>
      <c r="B222" s="85"/>
      <c r="C222" s="85"/>
      <c r="D222" s="85"/>
      <c r="E222" s="25"/>
    </row>
    <row r="223" spans="1:5" x14ac:dyDescent="0.2">
      <c r="A223" s="25"/>
      <c r="B223" s="85"/>
      <c r="C223" s="85"/>
      <c r="D223" s="85"/>
      <c r="E223" s="25"/>
    </row>
    <row r="224" spans="1:5" x14ac:dyDescent="0.2">
      <c r="A224" s="25"/>
      <c r="B224" s="85"/>
      <c r="C224" s="85"/>
      <c r="D224" s="85"/>
      <c r="E224" s="25"/>
    </row>
    <row r="225" spans="1:5" x14ac:dyDescent="0.2">
      <c r="A225" s="25"/>
      <c r="B225" s="85"/>
      <c r="C225" s="85"/>
      <c r="D225" s="85"/>
      <c r="E225" s="25"/>
    </row>
    <row r="226" spans="1:5" x14ac:dyDescent="0.2">
      <c r="A226" s="25"/>
      <c r="B226" s="85"/>
      <c r="C226" s="85"/>
      <c r="D226" s="85"/>
      <c r="E226" s="25"/>
    </row>
    <row r="227" spans="1:5" ht="15.75" x14ac:dyDescent="0.25">
      <c r="A227" s="90"/>
      <c r="B227" s="91"/>
      <c r="C227" s="91"/>
      <c r="D227" s="91"/>
      <c r="E227" s="25"/>
    </row>
    <row r="228" spans="1:5" x14ac:dyDescent="0.2">
      <c r="A228" s="25"/>
      <c r="B228" s="25"/>
      <c r="C228" s="25"/>
      <c r="D228" s="25"/>
      <c r="E228" s="25"/>
    </row>
    <row r="229" spans="1:5" x14ac:dyDescent="0.2">
      <c r="A229" s="25"/>
      <c r="B229" s="25"/>
      <c r="C229" s="25"/>
      <c r="D229" s="25"/>
      <c r="E229" s="25"/>
    </row>
    <row r="230" spans="1:5" x14ac:dyDescent="0.2">
      <c r="A230" s="25"/>
      <c r="B230" s="25"/>
      <c r="C230" s="25"/>
      <c r="D230" s="25"/>
      <c r="E230" s="25"/>
    </row>
    <row r="231" spans="1:5" x14ac:dyDescent="0.2">
      <c r="A231" s="25"/>
      <c r="B231" s="25"/>
      <c r="C231" s="25"/>
      <c r="D231" s="25"/>
      <c r="E231" s="25"/>
    </row>
    <row r="232" spans="1:5" x14ac:dyDescent="0.2">
      <c r="A232" s="25"/>
      <c r="B232" s="25"/>
      <c r="C232" s="25"/>
      <c r="D232" s="25"/>
      <c r="E232" s="25"/>
    </row>
    <row r="233" spans="1:5" x14ac:dyDescent="0.2">
      <c r="A233" s="25"/>
      <c r="B233" s="25"/>
      <c r="C233" s="25"/>
      <c r="D233" s="25"/>
      <c r="E233" s="25"/>
    </row>
    <row r="234" spans="1:5" x14ac:dyDescent="0.2">
      <c r="A234" s="25"/>
      <c r="B234" s="25"/>
      <c r="C234" s="25"/>
      <c r="D234" s="25"/>
      <c r="E234" s="25"/>
    </row>
    <row r="235" spans="1:5" x14ac:dyDescent="0.2">
      <c r="A235" s="25"/>
      <c r="B235" s="25"/>
      <c r="C235" s="25"/>
      <c r="D235" s="25"/>
      <c r="E235" s="25"/>
    </row>
    <row r="236" spans="1:5" x14ac:dyDescent="0.2">
      <c r="A236" s="25"/>
      <c r="B236" s="25"/>
      <c r="C236" s="25"/>
      <c r="D236" s="25"/>
      <c r="E236" s="25"/>
    </row>
    <row r="237" spans="1:5" x14ac:dyDescent="0.2">
      <c r="A237" s="25"/>
      <c r="B237" s="25"/>
      <c r="C237" s="25"/>
      <c r="D237" s="25"/>
      <c r="E237" s="25"/>
    </row>
    <row r="238" spans="1:5" x14ac:dyDescent="0.2">
      <c r="A238" s="25"/>
      <c r="B238" s="25"/>
      <c r="C238" s="25"/>
      <c r="D238" s="25"/>
      <c r="E238" s="25"/>
    </row>
    <row r="239" spans="1:5" x14ac:dyDescent="0.2">
      <c r="A239" s="25"/>
      <c r="B239" s="25"/>
      <c r="C239" s="25"/>
      <c r="D239" s="25"/>
      <c r="E239" s="25"/>
    </row>
    <row r="240" spans="1:5" x14ac:dyDescent="0.2">
      <c r="A240" s="25"/>
      <c r="B240" s="25"/>
      <c r="C240" s="25"/>
      <c r="D240" s="25"/>
      <c r="E240" s="25"/>
    </row>
    <row r="241" spans="1:5" x14ac:dyDescent="0.2">
      <c r="A241" s="25"/>
      <c r="B241" s="25"/>
      <c r="C241" s="25"/>
      <c r="D241" s="25"/>
      <c r="E241" s="25"/>
    </row>
    <row r="242" spans="1:5" x14ac:dyDescent="0.2">
      <c r="A242" s="25"/>
      <c r="B242" s="25"/>
      <c r="C242" s="25"/>
      <c r="D242" s="25"/>
      <c r="E242" s="25"/>
    </row>
    <row r="243" spans="1:5" x14ac:dyDescent="0.2">
      <c r="A243" s="25"/>
      <c r="B243" s="25"/>
      <c r="C243" s="25"/>
      <c r="D243" s="25"/>
      <c r="E243" s="25"/>
    </row>
    <row r="244" spans="1:5" x14ac:dyDescent="0.2">
      <c r="A244" s="25"/>
      <c r="B244" s="25"/>
      <c r="C244" s="25"/>
      <c r="D244" s="25"/>
      <c r="E244" s="25"/>
    </row>
    <row r="245" spans="1:5" x14ac:dyDescent="0.2">
      <c r="A245" s="25"/>
      <c r="B245" s="25"/>
      <c r="C245" s="25"/>
      <c r="D245" s="25"/>
      <c r="E245" s="25"/>
    </row>
    <row r="246" spans="1:5" x14ac:dyDescent="0.2">
      <c r="A246" s="25"/>
      <c r="B246" s="25"/>
      <c r="C246" s="25"/>
      <c r="D246" s="25"/>
      <c r="E246" s="25"/>
    </row>
    <row r="247" spans="1:5" x14ac:dyDescent="0.2">
      <c r="A247" s="25"/>
      <c r="B247" s="25"/>
      <c r="C247" s="25"/>
      <c r="D247" s="25"/>
      <c r="E247" s="25"/>
    </row>
    <row r="248" spans="1:5" x14ac:dyDescent="0.2">
      <c r="A248" s="25"/>
      <c r="B248" s="25"/>
      <c r="C248" s="25"/>
      <c r="D248" s="25"/>
      <c r="E248" s="25"/>
    </row>
    <row r="249" spans="1:5" x14ac:dyDescent="0.2">
      <c r="A249" s="25"/>
      <c r="B249" s="25"/>
      <c r="C249" s="25"/>
      <c r="D249" s="25"/>
      <c r="E249" s="25"/>
    </row>
    <row r="250" spans="1:5" x14ac:dyDescent="0.2">
      <c r="A250" s="25"/>
      <c r="B250" s="25"/>
      <c r="C250" s="25"/>
      <c r="D250" s="25"/>
      <c r="E250" s="25"/>
    </row>
    <row r="251" spans="1:5" x14ac:dyDescent="0.2">
      <c r="A251" s="25"/>
      <c r="B251" s="25"/>
      <c r="C251" s="25"/>
      <c r="D251" s="25"/>
      <c r="E251" s="25"/>
    </row>
    <row r="252" spans="1:5" x14ac:dyDescent="0.2">
      <c r="A252" s="25"/>
      <c r="B252" s="25"/>
      <c r="C252" s="25"/>
      <c r="D252" s="25"/>
      <c r="E252" s="25"/>
    </row>
    <row r="253" spans="1:5" x14ac:dyDescent="0.2">
      <c r="A253" s="25"/>
      <c r="B253" s="25"/>
      <c r="C253" s="25"/>
      <c r="D253" s="25"/>
      <c r="E253" s="25"/>
    </row>
    <row r="254" spans="1:5" x14ac:dyDescent="0.2">
      <c r="A254" s="25"/>
      <c r="B254" s="25"/>
      <c r="C254" s="25"/>
      <c r="D254" s="25"/>
      <c r="E254" s="25"/>
    </row>
    <row r="255" spans="1:5" x14ac:dyDescent="0.2">
      <c r="A255" s="25"/>
      <c r="B255" s="25"/>
      <c r="C255" s="25"/>
      <c r="D255" s="25"/>
      <c r="E255" s="25"/>
    </row>
    <row r="256" spans="1:5" x14ac:dyDescent="0.2">
      <c r="A256" s="25"/>
      <c r="B256" s="25"/>
      <c r="C256" s="25"/>
      <c r="D256" s="25"/>
      <c r="E256" s="25"/>
    </row>
    <row r="257" spans="1:5" x14ac:dyDescent="0.2">
      <c r="A257" s="25"/>
      <c r="B257" s="25"/>
      <c r="C257" s="25"/>
      <c r="D257" s="25"/>
      <c r="E257" s="25"/>
    </row>
    <row r="258" spans="1:5" x14ac:dyDescent="0.2">
      <c r="A258" s="25"/>
      <c r="B258" s="25"/>
      <c r="C258" s="25"/>
      <c r="D258" s="25"/>
      <c r="E258" s="25"/>
    </row>
    <row r="259" spans="1:5" x14ac:dyDescent="0.2">
      <c r="A259" s="25"/>
      <c r="B259" s="25"/>
      <c r="C259" s="25"/>
      <c r="D259" s="25"/>
      <c r="E259" s="25"/>
    </row>
    <row r="260" spans="1:5" x14ac:dyDescent="0.2">
      <c r="A260" s="25"/>
      <c r="B260" s="25"/>
      <c r="C260" s="25"/>
      <c r="D260" s="25"/>
      <c r="E260" s="25"/>
    </row>
    <row r="261" spans="1:5" x14ac:dyDescent="0.2">
      <c r="A261" s="25"/>
      <c r="B261" s="25"/>
      <c r="C261" s="25"/>
      <c r="D261" s="25"/>
      <c r="E261" s="25"/>
    </row>
    <row r="262" spans="1:5" x14ac:dyDescent="0.2">
      <c r="A262" s="25"/>
      <c r="B262" s="25"/>
      <c r="C262" s="25"/>
      <c r="D262" s="25"/>
      <c r="E262" s="25"/>
    </row>
    <row r="263" spans="1:5" x14ac:dyDescent="0.2">
      <c r="A263" s="25"/>
      <c r="B263" s="25"/>
      <c r="C263" s="25"/>
      <c r="D263" s="25"/>
      <c r="E263" s="25"/>
    </row>
    <row r="264" spans="1:5" x14ac:dyDescent="0.2">
      <c r="A264" s="25"/>
      <c r="B264" s="25"/>
      <c r="C264" s="25"/>
      <c r="D264" s="25"/>
      <c r="E264" s="25"/>
    </row>
    <row r="265" spans="1:5" x14ac:dyDescent="0.2">
      <c r="A265" s="25"/>
      <c r="B265" s="25"/>
      <c r="C265" s="25"/>
      <c r="D265" s="25"/>
      <c r="E265" s="25"/>
    </row>
    <row r="266" spans="1:5" x14ac:dyDescent="0.2">
      <c r="A266" s="25"/>
      <c r="B266" s="25"/>
      <c r="C266" s="25"/>
      <c r="D266" s="25"/>
      <c r="E266" s="25"/>
    </row>
    <row r="267" spans="1:5" x14ac:dyDescent="0.2">
      <c r="A267" s="25"/>
      <c r="B267" s="25"/>
      <c r="C267" s="25"/>
      <c r="D267" s="25"/>
      <c r="E267" s="25"/>
    </row>
    <row r="268" spans="1:5" x14ac:dyDescent="0.2">
      <c r="A268" s="25"/>
      <c r="B268" s="25"/>
      <c r="C268" s="25"/>
      <c r="D268" s="25"/>
      <c r="E268" s="25"/>
    </row>
    <row r="269" spans="1:5" x14ac:dyDescent="0.2">
      <c r="A269" s="25"/>
      <c r="B269" s="25"/>
      <c r="C269" s="25"/>
      <c r="D269" s="25"/>
      <c r="E269" s="25"/>
    </row>
    <row r="270" spans="1:5" x14ac:dyDescent="0.2">
      <c r="A270" s="25"/>
      <c r="B270" s="25"/>
      <c r="C270" s="25"/>
      <c r="D270" s="25"/>
      <c r="E270" s="25"/>
    </row>
    <row r="271" spans="1:5" x14ac:dyDescent="0.2">
      <c r="A271" s="25"/>
      <c r="B271" s="25"/>
      <c r="C271" s="25"/>
      <c r="D271" s="25"/>
      <c r="E271" s="25"/>
    </row>
    <row r="272" spans="1:5" x14ac:dyDescent="0.2">
      <c r="A272" s="25"/>
      <c r="B272" s="25"/>
      <c r="C272" s="25"/>
      <c r="D272" s="25"/>
      <c r="E272" s="25"/>
    </row>
    <row r="273" spans="1:5" x14ac:dyDescent="0.2">
      <c r="A273" s="25"/>
      <c r="B273" s="25"/>
      <c r="C273" s="25"/>
      <c r="D273" s="25"/>
      <c r="E273" s="25"/>
    </row>
    <row r="274" spans="1:5" x14ac:dyDescent="0.2">
      <c r="A274" s="25"/>
      <c r="B274" s="25"/>
      <c r="C274" s="25"/>
      <c r="D274" s="25"/>
      <c r="E274" s="25"/>
    </row>
    <row r="275" spans="1:5" x14ac:dyDescent="0.2">
      <c r="A275" s="25"/>
      <c r="B275" s="25"/>
      <c r="C275" s="25"/>
      <c r="D275" s="25"/>
      <c r="E275" s="25"/>
    </row>
    <row r="276" spans="1:5" x14ac:dyDescent="0.2">
      <c r="A276" s="25"/>
      <c r="B276" s="25"/>
      <c r="C276" s="25"/>
      <c r="D276" s="25"/>
      <c r="E276" s="25"/>
    </row>
    <row r="277" spans="1:5" x14ac:dyDescent="0.2">
      <c r="A277" s="25"/>
      <c r="B277" s="25"/>
      <c r="C277" s="25"/>
      <c r="D277" s="25"/>
      <c r="E277" s="25"/>
    </row>
    <row r="278" spans="1:5" x14ac:dyDescent="0.2">
      <c r="A278" s="25"/>
      <c r="B278" s="25"/>
      <c r="C278" s="25"/>
      <c r="D278" s="25"/>
      <c r="E278" s="25"/>
    </row>
    <row r="279" spans="1:5" x14ac:dyDescent="0.2">
      <c r="A279" s="25"/>
      <c r="B279" s="25"/>
      <c r="C279" s="25"/>
      <c r="D279" s="25"/>
      <c r="E279" s="25"/>
    </row>
    <row r="280" spans="1:5" x14ac:dyDescent="0.2">
      <c r="A280" s="25"/>
      <c r="B280" s="25"/>
      <c r="C280" s="25"/>
      <c r="D280" s="25"/>
      <c r="E280" s="25"/>
    </row>
    <row r="281" spans="1:5" x14ac:dyDescent="0.2">
      <c r="A281" s="25"/>
      <c r="B281" s="25"/>
      <c r="C281" s="25"/>
      <c r="D281" s="25"/>
      <c r="E281" s="25"/>
    </row>
    <row r="282" spans="1:5" x14ac:dyDescent="0.2">
      <c r="A282" s="25"/>
      <c r="B282" s="25"/>
      <c r="C282" s="25"/>
      <c r="D282" s="25"/>
      <c r="E282" s="25"/>
    </row>
    <row r="283" spans="1:5" x14ac:dyDescent="0.2">
      <c r="A283" s="25"/>
      <c r="B283" s="25"/>
      <c r="C283" s="25"/>
      <c r="D283" s="25"/>
      <c r="E283" s="25"/>
    </row>
  </sheetData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12"/>
  <sheetViews>
    <sheetView windowProtection="1" showGridLines="0" showRowColHeaders="0" showZeros="0" showOutlineSymbols="0" workbookViewId="0"/>
  </sheetViews>
  <sheetFormatPr defaultRowHeight="12.75" x14ac:dyDescent="0.2"/>
  <cols>
    <col min="1" max="1" width="9.140625" style="15"/>
    <col min="2" max="2" width="3.85546875" customWidth="1"/>
  </cols>
  <sheetData>
    <row r="1" spans="1:3" x14ac:dyDescent="0.2">
      <c r="A1" s="15">
        <v>38971</v>
      </c>
      <c r="C1" t="s">
        <v>117</v>
      </c>
    </row>
    <row r="2" spans="1:3" x14ac:dyDescent="0.2">
      <c r="A2" s="15">
        <v>39031</v>
      </c>
      <c r="C2" t="s">
        <v>144</v>
      </c>
    </row>
    <row r="3" spans="1:3" x14ac:dyDescent="0.2">
      <c r="A3" s="15">
        <v>39007</v>
      </c>
      <c r="C3" t="s">
        <v>187</v>
      </c>
    </row>
    <row r="4" spans="1:3" x14ac:dyDescent="0.2">
      <c r="A4" s="15">
        <v>39097</v>
      </c>
      <c r="C4" t="s">
        <v>191</v>
      </c>
    </row>
    <row r="5" spans="1:3" x14ac:dyDescent="0.2">
      <c r="A5" s="15">
        <v>39114</v>
      </c>
      <c r="C5" t="s">
        <v>194</v>
      </c>
    </row>
    <row r="6" spans="1:3" x14ac:dyDescent="0.2">
      <c r="A6" s="15">
        <v>39188</v>
      </c>
      <c r="C6" t="s">
        <v>195</v>
      </c>
    </row>
    <row r="7" spans="1:3" x14ac:dyDescent="0.2">
      <c r="A7" s="15">
        <v>39603</v>
      </c>
      <c r="C7" t="s">
        <v>212</v>
      </c>
    </row>
    <row r="8" spans="1:3" x14ac:dyDescent="0.2">
      <c r="A8" s="15">
        <v>39615</v>
      </c>
      <c r="C8" t="s">
        <v>213</v>
      </c>
    </row>
    <row r="9" spans="1:3" x14ac:dyDescent="0.2">
      <c r="A9" s="15">
        <v>39751</v>
      </c>
      <c r="C9" t="s">
        <v>239</v>
      </c>
    </row>
    <row r="10" spans="1:3" x14ac:dyDescent="0.2">
      <c r="A10" s="15">
        <v>39864</v>
      </c>
      <c r="C10" t="s">
        <v>240</v>
      </c>
    </row>
    <row r="11" spans="1:3" x14ac:dyDescent="0.2">
      <c r="A11" s="15">
        <v>39870</v>
      </c>
      <c r="C11" t="s">
        <v>243</v>
      </c>
    </row>
    <row r="12" spans="1:3" x14ac:dyDescent="0.2">
      <c r="A12" s="15">
        <v>40037</v>
      </c>
      <c r="C12" t="s">
        <v>251</v>
      </c>
    </row>
  </sheetData>
  <sheetProtection algorithmName="SHA-512" hashValue="wfzqQZgfABDZ2ao1QcOOO8Sg/t5TRHWWNPdPjHU6BogC4O0FUeu52JaW5KpjffF80MLGu5621NKiu7Lswfh2XQ==" saltValue="Q2LaJe6mv5K86aU5BwaH8A==" spinCount="100000" sheet="1" objects="1" scenarios="1"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"/>
  <dimension ref="A1"/>
  <sheetViews>
    <sheetView windowProtection="1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</vt:i4>
      </vt:variant>
    </vt:vector>
  </HeadingPairs>
  <TitlesOfParts>
    <vt:vector size="9" baseType="lpstr">
      <vt:lpstr>Ber</vt:lpstr>
      <vt:lpstr>Geg</vt:lpstr>
      <vt:lpstr>Contr conc</vt:lpstr>
      <vt:lpstr>Standaardconstr</vt:lpstr>
      <vt:lpstr>Vergelijk tbv brochure</vt:lpstr>
      <vt:lpstr>Decker</vt:lpstr>
      <vt:lpstr>Gesch</vt:lpstr>
      <vt:lpstr>Sheet1</vt:lpstr>
      <vt:lpstr>Ber!Afdrukbereik</vt:lpstr>
    </vt:vector>
  </TitlesOfParts>
  <Company>Slappepeddel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Moorsel</dc:creator>
  <cp:lastModifiedBy>ML</cp:lastModifiedBy>
  <cp:lastPrinted>2013-02-28T13:00:24Z</cp:lastPrinted>
  <dcterms:created xsi:type="dcterms:W3CDTF">2006-02-15T12:19:25Z</dcterms:created>
  <dcterms:modified xsi:type="dcterms:W3CDTF">2021-04-13T08:14:04Z</dcterms:modified>
</cp:coreProperties>
</file>